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Удаленка\Для сайта УУТЭ, ХВС\"/>
    </mc:Choice>
  </mc:AlternateContent>
  <xr:revisionPtr revIDLastSave="0" documentId="13_ncr:1_{31ACC227-927C-4EAF-A680-6F1A6BACBF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ля НАЧИСЛЕНИЯ" sheetId="2" r:id="rId1"/>
    <sheet name="Распределение отопления" sheetId="5" r:id="rId2"/>
    <sheet name="Распределение ГВС" sheetId="3" r:id="rId3"/>
  </sheets>
  <calcPr calcId="191029"/>
</workbook>
</file>

<file path=xl/calcChain.xml><?xml version="1.0" encoding="utf-8"?>
<calcChain xmlns="http://schemas.openxmlformats.org/spreadsheetml/2006/main">
  <c r="B64" i="5" l="1"/>
  <c r="D233" i="5" l="1"/>
  <c r="B190" i="5"/>
  <c r="B154" i="5"/>
  <c r="D151" i="5"/>
  <c r="D142" i="5"/>
  <c r="D131" i="5"/>
  <c r="D130" i="5"/>
  <c r="D92" i="5"/>
  <c r="B87" i="5"/>
  <c r="B60" i="5"/>
  <c r="D59" i="5"/>
  <c r="D30" i="5"/>
  <c r="B28" i="5"/>
  <c r="D26" i="5"/>
  <c r="B23" i="5"/>
  <c r="B207" i="5" l="1"/>
  <c r="D210" i="2"/>
  <c r="E210" i="2"/>
  <c r="D204" i="5"/>
  <c r="B179" i="5"/>
  <c r="E168" i="2"/>
  <c r="D168" i="2"/>
  <c r="D167" i="2"/>
  <c r="E167" i="2"/>
  <c r="E166" i="2"/>
  <c r="D166" i="2"/>
  <c r="D157" i="5"/>
  <c r="B136" i="5"/>
  <c r="C74" i="3"/>
  <c r="B133" i="5"/>
  <c r="C69" i="3"/>
  <c r="E114" i="2"/>
  <c r="D116" i="5"/>
  <c r="E113" i="2"/>
  <c r="D113" i="2"/>
  <c r="B113" i="5"/>
  <c r="C65" i="3"/>
  <c r="D110" i="2"/>
  <c r="E110" i="2"/>
  <c r="D104" i="2"/>
  <c r="E18" i="5" l="1"/>
  <c r="E147" i="5"/>
  <c r="E30" i="5"/>
  <c r="D24" i="5"/>
  <c r="D23" i="5"/>
  <c r="K232" i="5" l="1"/>
  <c r="J232" i="5"/>
  <c r="G233" i="5"/>
  <c r="K233" i="5" s="1"/>
  <c r="G232" i="5"/>
  <c r="J233" i="5" l="1"/>
  <c r="L233" i="5" s="1"/>
  <c r="N233" i="5" s="1"/>
  <c r="L232" i="5"/>
  <c r="N232" i="5" s="1"/>
  <c r="M233" i="5"/>
  <c r="O233" i="5" s="1"/>
  <c r="M232" i="5"/>
  <c r="O232" i="5" s="1"/>
  <c r="P233" i="5" l="1"/>
  <c r="P232" i="5"/>
  <c r="F21" i="5"/>
  <c r="G21" i="5" s="1"/>
  <c r="H21" i="5" s="1"/>
  <c r="D227" i="5"/>
  <c r="D65" i="5" l="1"/>
  <c r="D64" i="5"/>
  <c r="G229" i="5" l="1"/>
  <c r="K229" i="5" s="1"/>
  <c r="K216" i="5"/>
  <c r="G216" i="5"/>
  <c r="J216" i="5" s="1"/>
  <c r="G215" i="5"/>
  <c r="J215" i="5" s="1"/>
  <c r="K185" i="5"/>
  <c r="G185" i="5"/>
  <c r="J185" i="5" s="1"/>
  <c r="D119" i="5"/>
  <c r="D118" i="5"/>
  <c r="D95" i="5"/>
  <c r="D94" i="5"/>
  <c r="D93" i="5"/>
  <c r="G123" i="5"/>
  <c r="G122" i="5"/>
  <c r="D123" i="5"/>
  <c r="J123" i="5" s="1"/>
  <c r="D122" i="5"/>
  <c r="K122" i="5" s="1"/>
  <c r="G62" i="5"/>
  <c r="G63" i="5"/>
  <c r="G64" i="5"/>
  <c r="J64" i="5" s="1"/>
  <c r="G65" i="5"/>
  <c r="J65" i="5" s="1"/>
  <c r="D63" i="5"/>
  <c r="D62" i="5"/>
  <c r="J62" i="5" s="1"/>
  <c r="K41" i="5"/>
  <c r="G41" i="5"/>
  <c r="J41" i="5" s="1"/>
  <c r="E31" i="5"/>
  <c r="K215" i="5" l="1"/>
  <c r="J229" i="5"/>
  <c r="M229" i="5" s="1"/>
  <c r="O229" i="5" s="1"/>
  <c r="M185" i="5"/>
  <c r="O185" i="5" s="1"/>
  <c r="J63" i="5"/>
  <c r="M216" i="5"/>
  <c r="O216" i="5" s="1"/>
  <c r="L216" i="5"/>
  <c r="N216" i="5" s="1"/>
  <c r="L185" i="5"/>
  <c r="N185" i="5" s="1"/>
  <c r="P185" i="5" s="1"/>
  <c r="J122" i="5"/>
  <c r="M122" i="5" s="1"/>
  <c r="O122" i="5" s="1"/>
  <c r="L215" i="5"/>
  <c r="N215" i="5" s="1"/>
  <c r="K62" i="5"/>
  <c r="L62" i="5" s="1"/>
  <c r="N62" i="5" s="1"/>
  <c r="K123" i="5"/>
  <c r="M123" i="5" s="1"/>
  <c r="O123" i="5" s="1"/>
  <c r="L41" i="5"/>
  <c r="N41" i="5" s="1"/>
  <c r="M215" i="5"/>
  <c r="O215" i="5" s="1"/>
  <c r="K65" i="5"/>
  <c r="L65" i="5" s="1"/>
  <c r="N65" i="5" s="1"/>
  <c r="K64" i="5"/>
  <c r="L64" i="5" s="1"/>
  <c r="N64" i="5" s="1"/>
  <c r="K63" i="5"/>
  <c r="M62" i="5"/>
  <c r="O62" i="5" s="1"/>
  <c r="M41" i="5"/>
  <c r="O41" i="5" s="1"/>
  <c r="B36" i="3"/>
  <c r="B33" i="3"/>
  <c r="B100" i="3"/>
  <c r="C98" i="3" s="1"/>
  <c r="C99" i="3"/>
  <c r="C31" i="3" l="1"/>
  <c r="C32" i="3"/>
  <c r="L229" i="5"/>
  <c r="N229" i="5" s="1"/>
  <c r="P229" i="5" s="1"/>
  <c r="C34" i="3"/>
  <c r="C35" i="3"/>
  <c r="L123" i="5"/>
  <c r="N123" i="5" s="1"/>
  <c r="P123" i="5" s="1"/>
  <c r="P216" i="5"/>
  <c r="M63" i="5"/>
  <c r="O63" i="5" s="1"/>
  <c r="L122" i="5"/>
  <c r="N122" i="5" s="1"/>
  <c r="P215" i="5"/>
  <c r="P122" i="5"/>
  <c r="P62" i="5"/>
  <c r="P41" i="5"/>
  <c r="M65" i="5"/>
  <c r="O65" i="5" s="1"/>
  <c r="P65" i="5" s="1"/>
  <c r="M64" i="5"/>
  <c r="O64" i="5" s="1"/>
  <c r="P64" i="5" s="1"/>
  <c r="L63" i="5"/>
  <c r="N63" i="5" s="1"/>
  <c r="P63" i="5" s="1"/>
  <c r="B83" i="3" l="1"/>
  <c r="E171" i="5" l="1"/>
  <c r="D36" i="5"/>
  <c r="D46" i="5" l="1"/>
  <c r="D21" i="5" l="1"/>
  <c r="D20" i="5"/>
  <c r="D13" i="5"/>
  <c r="D12" i="5"/>
  <c r="D11" i="5"/>
  <c r="D194" i="5" l="1"/>
  <c r="D103" i="5" l="1"/>
  <c r="D102" i="5"/>
  <c r="D54" i="5" l="1"/>
  <c r="D38" i="5"/>
  <c r="D37" i="5"/>
  <c r="D34" i="5"/>
  <c r="D31" i="5"/>
  <c r="D35" i="5"/>
  <c r="D28" i="5"/>
  <c r="E198" i="5" l="1"/>
  <c r="E88" i="5"/>
  <c r="D14" i="5" l="1"/>
  <c r="D193" i="5" l="1"/>
  <c r="D61" i="5" l="1"/>
  <c r="H210" i="5" l="1"/>
  <c r="F210" i="5"/>
  <c r="E210" i="5"/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20" i="5"/>
  <c r="G22" i="5"/>
  <c r="G23" i="5"/>
  <c r="G24" i="5"/>
  <c r="G25" i="5"/>
  <c r="G26" i="5"/>
  <c r="G28" i="5"/>
  <c r="G29" i="5"/>
  <c r="G35" i="5"/>
  <c r="G36" i="5"/>
  <c r="G38" i="5"/>
  <c r="K38" i="5" s="1"/>
  <c r="G39" i="5"/>
  <c r="G40" i="5"/>
  <c r="G42" i="5"/>
  <c r="G43" i="5"/>
  <c r="G44" i="5"/>
  <c r="G46" i="5"/>
  <c r="G47" i="5"/>
  <c r="G48" i="5"/>
  <c r="G49" i="5"/>
  <c r="G50" i="5"/>
  <c r="G51" i="5"/>
  <c r="G52" i="5"/>
  <c r="G53" i="5"/>
  <c r="G55" i="5"/>
  <c r="G56" i="5"/>
  <c r="G57" i="5"/>
  <c r="G58" i="5"/>
  <c r="G59" i="5"/>
  <c r="K59" i="5" s="1"/>
  <c r="G60" i="5"/>
  <c r="G67" i="5"/>
  <c r="G68" i="5"/>
  <c r="G69" i="5"/>
  <c r="G70" i="5"/>
  <c r="G71" i="5"/>
  <c r="G73" i="5"/>
  <c r="G74" i="5"/>
  <c r="G75" i="5"/>
  <c r="G77" i="5"/>
  <c r="G78" i="5"/>
  <c r="G79" i="5"/>
  <c r="G80" i="5"/>
  <c r="G81" i="5"/>
  <c r="G82" i="5"/>
  <c r="K82" i="5" s="1"/>
  <c r="G84" i="5"/>
  <c r="G85" i="5"/>
  <c r="G86" i="5"/>
  <c r="G87" i="5"/>
  <c r="G89" i="5"/>
  <c r="G90" i="5"/>
  <c r="G91" i="5"/>
  <c r="G93" i="5"/>
  <c r="G94" i="5"/>
  <c r="G95" i="5"/>
  <c r="G96" i="5"/>
  <c r="G97" i="5"/>
  <c r="G98" i="5"/>
  <c r="G100" i="5"/>
  <c r="K100" i="5" s="1"/>
  <c r="G101" i="5"/>
  <c r="G102" i="5"/>
  <c r="G103" i="5"/>
  <c r="G104" i="5"/>
  <c r="G105" i="5"/>
  <c r="G106" i="5"/>
  <c r="G107" i="5"/>
  <c r="G108" i="5"/>
  <c r="G109" i="5"/>
  <c r="G110" i="5"/>
  <c r="G111" i="5"/>
  <c r="G113" i="5"/>
  <c r="G114" i="5"/>
  <c r="G115" i="5"/>
  <c r="G117" i="5"/>
  <c r="G118" i="5"/>
  <c r="G119" i="5"/>
  <c r="G120" i="5"/>
  <c r="G121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1" i="5"/>
  <c r="G142" i="5"/>
  <c r="G143" i="5"/>
  <c r="G144" i="5"/>
  <c r="G145" i="5"/>
  <c r="G146" i="5"/>
  <c r="G147" i="5"/>
  <c r="C147" i="5" s="1"/>
  <c r="G148" i="5"/>
  <c r="G149" i="5"/>
  <c r="G150" i="5"/>
  <c r="K150" i="5" s="1"/>
  <c r="G151" i="5"/>
  <c r="G152" i="5"/>
  <c r="G153" i="5"/>
  <c r="G155" i="5"/>
  <c r="G156" i="5"/>
  <c r="G157" i="5"/>
  <c r="K157" i="5" s="1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3" i="5"/>
  <c r="G174" i="5"/>
  <c r="G175" i="5"/>
  <c r="G176" i="5"/>
  <c r="G177" i="5"/>
  <c r="G178" i="5"/>
  <c r="G179" i="5"/>
  <c r="G180" i="5"/>
  <c r="G181" i="5"/>
  <c r="G183" i="5"/>
  <c r="G186" i="5"/>
  <c r="G187" i="5"/>
  <c r="G188" i="5"/>
  <c r="G189" i="5"/>
  <c r="G190" i="5"/>
  <c r="G191" i="5"/>
  <c r="G192" i="5"/>
  <c r="G193" i="5"/>
  <c r="G194" i="5"/>
  <c r="G195" i="5"/>
  <c r="G197" i="5"/>
  <c r="G198" i="5"/>
  <c r="C198" i="5" s="1"/>
  <c r="G199" i="5"/>
  <c r="G200" i="5"/>
  <c r="G201" i="5"/>
  <c r="G202" i="5"/>
  <c r="G203" i="5"/>
  <c r="G204" i="5"/>
  <c r="G205" i="5"/>
  <c r="G206" i="5"/>
  <c r="G207" i="5"/>
  <c r="G208" i="5"/>
  <c r="G209" i="5"/>
  <c r="G211" i="5"/>
  <c r="G212" i="5"/>
  <c r="G213" i="5"/>
  <c r="G214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30" i="5"/>
  <c r="G231" i="5"/>
  <c r="G4" i="5"/>
  <c r="E196" i="5"/>
  <c r="G196" i="5" s="1"/>
  <c r="E184" i="5"/>
  <c r="G184" i="5" s="1"/>
  <c r="E182" i="5"/>
  <c r="G182" i="5" s="1"/>
  <c r="E172" i="5"/>
  <c r="G171" i="5"/>
  <c r="K171" i="5" s="1"/>
  <c r="E154" i="5"/>
  <c r="G154" i="5" s="1"/>
  <c r="G210" i="5" l="1"/>
  <c r="J210" i="5" s="1"/>
  <c r="G172" i="5"/>
  <c r="E116" i="5"/>
  <c r="E112" i="5"/>
  <c r="E54" i="5"/>
  <c r="E99" i="5"/>
  <c r="E92" i="5"/>
  <c r="E83" i="5"/>
  <c r="E72" i="5"/>
  <c r="E66" i="5"/>
  <c r="E61" i="5"/>
  <c r="E45" i="5"/>
  <c r="E37" i="5"/>
  <c r="E34" i="5"/>
  <c r="E33" i="5"/>
  <c r="E32" i="5"/>
  <c r="E27" i="5"/>
  <c r="E19" i="5"/>
  <c r="D228" i="5"/>
  <c r="D222" i="5"/>
  <c r="D221" i="5"/>
  <c r="D212" i="5"/>
  <c r="D211" i="5"/>
  <c r="D208" i="5"/>
  <c r="D207" i="5"/>
  <c r="K207" i="5" s="1"/>
  <c r="D189" i="5"/>
  <c r="D199" i="5"/>
  <c r="D198" i="5"/>
  <c r="D196" i="5"/>
  <c r="D195" i="5"/>
  <c r="D191" i="5"/>
  <c r="D190" i="5"/>
  <c r="D180" i="5"/>
  <c r="D179" i="5"/>
  <c r="D188" i="5"/>
  <c r="D187" i="5"/>
  <c r="D184" i="5"/>
  <c r="D183" i="5"/>
  <c r="D182" i="5"/>
  <c r="D156" i="5"/>
  <c r="D155" i="5"/>
  <c r="D154" i="5"/>
  <c r="D147" i="5"/>
  <c r="D146" i="5"/>
  <c r="D145" i="5"/>
  <c r="D144" i="5"/>
  <c r="D143" i="5"/>
  <c r="D139" i="5"/>
  <c r="D138" i="5"/>
  <c r="D137" i="5"/>
  <c r="D136" i="5"/>
  <c r="D135" i="5"/>
  <c r="D134" i="5"/>
  <c r="D133" i="5"/>
  <c r="D114" i="5"/>
  <c r="D113" i="5"/>
  <c r="D111" i="5"/>
  <c r="D110" i="5"/>
  <c r="D109" i="5"/>
  <c r="D108" i="5"/>
  <c r="D98" i="5"/>
  <c r="D97" i="5"/>
  <c r="D68" i="5"/>
  <c r="D69" i="5"/>
  <c r="D60" i="5"/>
  <c r="D55" i="5"/>
  <c r="D56" i="5"/>
  <c r="D53" i="5"/>
  <c r="D52" i="5"/>
  <c r="D51" i="5"/>
  <c r="D48" i="5"/>
  <c r="D47" i="5"/>
  <c r="D45" i="5"/>
  <c r="D33" i="5"/>
  <c r="D32" i="5"/>
  <c r="D29" i="5"/>
  <c r="K182" i="5" l="1"/>
  <c r="K184" i="5"/>
  <c r="K196" i="5"/>
  <c r="K172" i="5"/>
  <c r="K154" i="5"/>
  <c r="K23" i="5"/>
  <c r="J23" i="5"/>
  <c r="J36" i="5"/>
  <c r="K36" i="5"/>
  <c r="K47" i="5"/>
  <c r="J47" i="5"/>
  <c r="K51" i="5"/>
  <c r="J51" i="5"/>
  <c r="J53" i="5"/>
  <c r="K53" i="5"/>
  <c r="K56" i="5"/>
  <c r="J56" i="5"/>
  <c r="K60" i="5"/>
  <c r="J60" i="5"/>
  <c r="J69" i="5"/>
  <c r="K69" i="5"/>
  <c r="K94" i="5"/>
  <c r="J94" i="5"/>
  <c r="J97" i="5"/>
  <c r="K97" i="5"/>
  <c r="K102" i="5"/>
  <c r="J102" i="5"/>
  <c r="K108" i="5"/>
  <c r="J108" i="5"/>
  <c r="K110" i="5"/>
  <c r="J110" i="5"/>
  <c r="K113" i="5"/>
  <c r="J113" i="5"/>
  <c r="K118" i="5"/>
  <c r="J118" i="5"/>
  <c r="K133" i="5"/>
  <c r="J133" i="5"/>
  <c r="K135" i="5"/>
  <c r="J135" i="5"/>
  <c r="K137" i="5"/>
  <c r="J137" i="5"/>
  <c r="K139" i="5"/>
  <c r="J139" i="5"/>
  <c r="K144" i="5"/>
  <c r="J144" i="5"/>
  <c r="K146" i="5"/>
  <c r="J146" i="5"/>
  <c r="K156" i="5"/>
  <c r="J156" i="5"/>
  <c r="K183" i="5"/>
  <c r="J183" i="5"/>
  <c r="K187" i="5"/>
  <c r="J187" i="5"/>
  <c r="K179" i="5"/>
  <c r="J179" i="5"/>
  <c r="K190" i="5"/>
  <c r="J190" i="5"/>
  <c r="K193" i="5"/>
  <c r="J193" i="5"/>
  <c r="K195" i="5"/>
  <c r="J195" i="5"/>
  <c r="K198" i="5"/>
  <c r="J198" i="5"/>
  <c r="K189" i="5"/>
  <c r="J189" i="5"/>
  <c r="K208" i="5"/>
  <c r="J208" i="5"/>
  <c r="K212" i="5"/>
  <c r="J212" i="5"/>
  <c r="K222" i="5"/>
  <c r="J222" i="5"/>
  <c r="K228" i="5"/>
  <c r="J228" i="5"/>
  <c r="K12" i="5"/>
  <c r="J12" i="5"/>
  <c r="K14" i="5"/>
  <c r="J14" i="5"/>
  <c r="G27" i="5"/>
  <c r="G32" i="5"/>
  <c r="J32" i="5" s="1"/>
  <c r="G34" i="5"/>
  <c r="J34" i="5" s="1"/>
  <c r="G31" i="5"/>
  <c r="K31" i="5" s="1"/>
  <c r="G61" i="5"/>
  <c r="J61" i="5" s="1"/>
  <c r="G72" i="5"/>
  <c r="J72" i="5" s="1"/>
  <c r="G83" i="5"/>
  <c r="J83" i="5" s="1"/>
  <c r="G92" i="5"/>
  <c r="J92" i="5" s="1"/>
  <c r="G54" i="5"/>
  <c r="G116" i="5"/>
  <c r="J116" i="5" s="1"/>
  <c r="K9" i="5"/>
  <c r="J9" i="5"/>
  <c r="K7" i="5"/>
  <c r="J7" i="5"/>
  <c r="K5" i="5"/>
  <c r="J5" i="5"/>
  <c r="J16" i="5"/>
  <c r="K16" i="5"/>
  <c r="K18" i="5"/>
  <c r="J18" i="5"/>
  <c r="K22" i="5"/>
  <c r="J22" i="5"/>
  <c r="K26" i="5"/>
  <c r="J26" i="5"/>
  <c r="J40" i="5"/>
  <c r="K40" i="5"/>
  <c r="K43" i="5"/>
  <c r="J43" i="5"/>
  <c r="J49" i="5"/>
  <c r="K49" i="5"/>
  <c r="J57" i="5"/>
  <c r="K57" i="5"/>
  <c r="J59" i="5"/>
  <c r="K67" i="5"/>
  <c r="J67" i="5"/>
  <c r="K71" i="5"/>
  <c r="J71" i="5"/>
  <c r="J73" i="5"/>
  <c r="K73" i="5"/>
  <c r="K75" i="5"/>
  <c r="J75" i="5"/>
  <c r="J85" i="5"/>
  <c r="K85" i="5"/>
  <c r="K90" i="5"/>
  <c r="J90" i="5"/>
  <c r="J101" i="5"/>
  <c r="K101" i="5"/>
  <c r="J105" i="5"/>
  <c r="K105" i="5"/>
  <c r="K107" i="5"/>
  <c r="J107" i="5"/>
  <c r="K115" i="5"/>
  <c r="J115" i="5"/>
  <c r="K120" i="5"/>
  <c r="J120" i="5"/>
  <c r="K124" i="5"/>
  <c r="J124" i="5"/>
  <c r="K126" i="5"/>
  <c r="J126" i="5"/>
  <c r="K128" i="5"/>
  <c r="J128" i="5"/>
  <c r="K130" i="5"/>
  <c r="J130" i="5"/>
  <c r="K132" i="5"/>
  <c r="J132" i="5"/>
  <c r="K141" i="5"/>
  <c r="J141" i="5"/>
  <c r="K148" i="5"/>
  <c r="J148" i="5"/>
  <c r="J150" i="5"/>
  <c r="K152" i="5"/>
  <c r="J152" i="5"/>
  <c r="J157" i="5"/>
  <c r="K159" i="5"/>
  <c r="J159" i="5"/>
  <c r="K161" i="5"/>
  <c r="J161" i="5"/>
  <c r="K163" i="5"/>
  <c r="J163" i="5"/>
  <c r="K165" i="5"/>
  <c r="J165" i="5"/>
  <c r="K167" i="5"/>
  <c r="J167" i="5"/>
  <c r="K169" i="5"/>
  <c r="J169" i="5"/>
  <c r="K173" i="5"/>
  <c r="J173" i="5"/>
  <c r="K175" i="5"/>
  <c r="J175" i="5"/>
  <c r="K177" i="5"/>
  <c r="J177" i="5"/>
  <c r="K181" i="5"/>
  <c r="J181" i="5"/>
  <c r="K192" i="5"/>
  <c r="J192" i="5"/>
  <c r="K200" i="5"/>
  <c r="J200" i="5"/>
  <c r="K202" i="5"/>
  <c r="J202" i="5"/>
  <c r="K204" i="5"/>
  <c r="J204" i="5"/>
  <c r="K206" i="5"/>
  <c r="J206" i="5"/>
  <c r="K214" i="5"/>
  <c r="J214" i="5"/>
  <c r="K218" i="5"/>
  <c r="J218" i="5"/>
  <c r="K220" i="5"/>
  <c r="J220" i="5"/>
  <c r="K224" i="5"/>
  <c r="J224" i="5"/>
  <c r="K226" i="5"/>
  <c r="J226" i="5"/>
  <c r="K231" i="5"/>
  <c r="J231" i="5"/>
  <c r="J171" i="5"/>
  <c r="K210" i="5"/>
  <c r="M210" i="5" s="1"/>
  <c r="J172" i="5"/>
  <c r="J28" i="5"/>
  <c r="K28" i="5"/>
  <c r="J24" i="5"/>
  <c r="K24" i="5"/>
  <c r="K29" i="5"/>
  <c r="J29" i="5"/>
  <c r="K32" i="5"/>
  <c r="K35" i="5"/>
  <c r="J35" i="5"/>
  <c r="J38" i="5"/>
  <c r="L38" i="5" s="1"/>
  <c r="K46" i="5"/>
  <c r="J46" i="5"/>
  <c r="K48" i="5"/>
  <c r="J48" i="5"/>
  <c r="K52" i="5"/>
  <c r="J52" i="5"/>
  <c r="K55" i="5"/>
  <c r="J55" i="5"/>
  <c r="K68" i="5"/>
  <c r="J68" i="5"/>
  <c r="J93" i="5"/>
  <c r="K93" i="5"/>
  <c r="K95" i="5"/>
  <c r="J95" i="5"/>
  <c r="K98" i="5"/>
  <c r="J98" i="5"/>
  <c r="K103" i="5"/>
  <c r="J103" i="5"/>
  <c r="J109" i="5"/>
  <c r="K109" i="5"/>
  <c r="K111" i="5"/>
  <c r="J111" i="5"/>
  <c r="K114" i="5"/>
  <c r="J114" i="5"/>
  <c r="K119" i="5"/>
  <c r="J119" i="5"/>
  <c r="K134" i="5"/>
  <c r="J134" i="5"/>
  <c r="K136" i="5"/>
  <c r="J136" i="5"/>
  <c r="K138" i="5"/>
  <c r="J138" i="5"/>
  <c r="K143" i="5"/>
  <c r="J143" i="5"/>
  <c r="K145" i="5"/>
  <c r="J145" i="5"/>
  <c r="K147" i="5"/>
  <c r="J147" i="5"/>
  <c r="K155" i="5"/>
  <c r="J155" i="5"/>
  <c r="K188" i="5"/>
  <c r="J188" i="5"/>
  <c r="K180" i="5"/>
  <c r="J180" i="5"/>
  <c r="K191" i="5"/>
  <c r="J191" i="5"/>
  <c r="K194" i="5"/>
  <c r="J194" i="5"/>
  <c r="K199" i="5"/>
  <c r="J199" i="5"/>
  <c r="J207" i="5"/>
  <c r="K211" i="5"/>
  <c r="J211" i="5"/>
  <c r="K221" i="5"/>
  <c r="J221" i="5"/>
  <c r="K227" i="5"/>
  <c r="J227" i="5"/>
  <c r="K11" i="5"/>
  <c r="J11" i="5"/>
  <c r="K13" i="5"/>
  <c r="J13" i="5"/>
  <c r="J20" i="5"/>
  <c r="K20" i="5"/>
  <c r="G19" i="5"/>
  <c r="J19" i="5" s="1"/>
  <c r="G30" i="5"/>
  <c r="J30" i="5" s="1"/>
  <c r="G33" i="5"/>
  <c r="J33" i="5" s="1"/>
  <c r="G37" i="5"/>
  <c r="K37" i="5" s="1"/>
  <c r="G45" i="5"/>
  <c r="J45" i="5" s="1"/>
  <c r="G66" i="5"/>
  <c r="J66" i="5" s="1"/>
  <c r="G76" i="5"/>
  <c r="G88" i="5"/>
  <c r="G99" i="5"/>
  <c r="K99" i="5" s="1"/>
  <c r="G112" i="5"/>
  <c r="J112" i="5" s="1"/>
  <c r="G140" i="5"/>
  <c r="J140" i="5" s="1"/>
  <c r="K10" i="5"/>
  <c r="J10" i="5"/>
  <c r="K8" i="5"/>
  <c r="J8" i="5"/>
  <c r="K6" i="5"/>
  <c r="J6" i="5"/>
  <c r="K15" i="5"/>
  <c r="J15" i="5"/>
  <c r="K17" i="5"/>
  <c r="J17" i="5"/>
  <c r="K25" i="5"/>
  <c r="J25" i="5"/>
  <c r="K39" i="5"/>
  <c r="J39" i="5"/>
  <c r="K42" i="5"/>
  <c r="J42" i="5"/>
  <c r="K44" i="5"/>
  <c r="J44" i="5"/>
  <c r="K50" i="5"/>
  <c r="J50" i="5"/>
  <c r="K58" i="5"/>
  <c r="J58" i="5"/>
  <c r="K70" i="5"/>
  <c r="J70" i="5"/>
  <c r="K74" i="5"/>
  <c r="J74" i="5"/>
  <c r="J82" i="5"/>
  <c r="K84" i="5"/>
  <c r="J84" i="5"/>
  <c r="K86" i="5"/>
  <c r="J86" i="5"/>
  <c r="K91" i="5"/>
  <c r="J91" i="5"/>
  <c r="K96" i="5"/>
  <c r="J96" i="5"/>
  <c r="J100" i="5"/>
  <c r="K104" i="5"/>
  <c r="J104" i="5"/>
  <c r="K106" i="5"/>
  <c r="J106" i="5"/>
  <c r="K116" i="5"/>
  <c r="K117" i="5"/>
  <c r="J117" i="5"/>
  <c r="K121" i="5"/>
  <c r="J121" i="5"/>
  <c r="K125" i="5"/>
  <c r="J125" i="5"/>
  <c r="K127" i="5"/>
  <c r="J127" i="5"/>
  <c r="K129" i="5"/>
  <c r="J129" i="5"/>
  <c r="K131" i="5"/>
  <c r="J131" i="5"/>
  <c r="K142" i="5"/>
  <c r="J142" i="5"/>
  <c r="K149" i="5"/>
  <c r="J149" i="5"/>
  <c r="K151" i="5"/>
  <c r="J151" i="5"/>
  <c r="K153" i="5"/>
  <c r="J153" i="5"/>
  <c r="K158" i="5"/>
  <c r="J158" i="5"/>
  <c r="K160" i="5"/>
  <c r="J160" i="5"/>
  <c r="K162" i="5"/>
  <c r="J162" i="5"/>
  <c r="K164" i="5"/>
  <c r="J164" i="5"/>
  <c r="K166" i="5"/>
  <c r="J166" i="5"/>
  <c r="K168" i="5"/>
  <c r="J168" i="5"/>
  <c r="K170" i="5"/>
  <c r="J170" i="5"/>
  <c r="K174" i="5"/>
  <c r="J174" i="5"/>
  <c r="K176" i="5"/>
  <c r="J176" i="5"/>
  <c r="K178" i="5"/>
  <c r="J178" i="5"/>
  <c r="K186" i="5"/>
  <c r="J186" i="5"/>
  <c r="K197" i="5"/>
  <c r="J197" i="5"/>
  <c r="K201" i="5"/>
  <c r="J201" i="5"/>
  <c r="K203" i="5"/>
  <c r="J203" i="5"/>
  <c r="K205" i="5"/>
  <c r="J205" i="5"/>
  <c r="K209" i="5"/>
  <c r="J209" i="5"/>
  <c r="K213" i="5"/>
  <c r="J213" i="5"/>
  <c r="K217" i="5"/>
  <c r="J217" i="5"/>
  <c r="K219" i="5"/>
  <c r="J219" i="5"/>
  <c r="K223" i="5"/>
  <c r="J223" i="5"/>
  <c r="K225" i="5"/>
  <c r="J225" i="5"/>
  <c r="K230" i="5"/>
  <c r="J230" i="5"/>
  <c r="J182" i="5"/>
  <c r="J196" i="5"/>
  <c r="J184" i="5"/>
  <c r="J154" i="5"/>
  <c r="K4" i="5"/>
  <c r="J4" i="5"/>
  <c r="K19" i="5" l="1"/>
  <c r="M19" i="5" s="1"/>
  <c r="O19" i="5" s="1"/>
  <c r="K83" i="5"/>
  <c r="M83" i="5" s="1"/>
  <c r="O83" i="5" s="1"/>
  <c r="L146" i="5"/>
  <c r="N146" i="5" s="1"/>
  <c r="L40" i="5"/>
  <c r="N40" i="5" s="1"/>
  <c r="L56" i="5"/>
  <c r="N56" i="5" s="1"/>
  <c r="L110" i="5"/>
  <c r="N110" i="5" s="1"/>
  <c r="L118" i="5"/>
  <c r="N118" i="5" s="1"/>
  <c r="L124" i="5"/>
  <c r="N124" i="5" s="1"/>
  <c r="M9" i="5"/>
  <c r="O9" i="5" s="1"/>
  <c r="L165" i="5"/>
  <c r="N165" i="5" s="1"/>
  <c r="C88" i="5"/>
  <c r="C76" i="5"/>
  <c r="K61" i="5"/>
  <c r="L61" i="5" s="1"/>
  <c r="N61" i="5" s="1"/>
  <c r="K92" i="5"/>
  <c r="M92" i="5" s="1"/>
  <c r="O92" i="5" s="1"/>
  <c r="L158" i="5"/>
  <c r="N158" i="5" s="1"/>
  <c r="M137" i="5"/>
  <c r="O137" i="5" s="1"/>
  <c r="L192" i="5"/>
  <c r="N192" i="5" s="1"/>
  <c r="M218" i="5"/>
  <c r="O218" i="5" s="1"/>
  <c r="L190" i="5"/>
  <c r="N190" i="5" s="1"/>
  <c r="L107" i="5"/>
  <c r="N107" i="5" s="1"/>
  <c r="M50" i="5"/>
  <c r="O50" i="5" s="1"/>
  <c r="M46" i="5"/>
  <c r="O46" i="5" s="1"/>
  <c r="M32" i="5"/>
  <c r="O32" i="5" s="1"/>
  <c r="L149" i="5"/>
  <c r="N149" i="5" s="1"/>
  <c r="K140" i="5"/>
  <c r="L140" i="5" s="1"/>
  <c r="N140" i="5" s="1"/>
  <c r="L82" i="5"/>
  <c r="N82" i="5" s="1"/>
  <c r="K72" i="5"/>
  <c r="M72" i="5" s="1"/>
  <c r="O72" i="5" s="1"/>
  <c r="K34" i="5"/>
  <c r="L34" i="5" s="1"/>
  <c r="N34" i="5" s="1"/>
  <c r="M224" i="5"/>
  <c r="O224" i="5" s="1"/>
  <c r="L202" i="5"/>
  <c r="N202" i="5" s="1"/>
  <c r="M163" i="5"/>
  <c r="O163" i="5" s="1"/>
  <c r="L132" i="5"/>
  <c r="N132" i="5" s="1"/>
  <c r="M71" i="5"/>
  <c r="O71" i="5" s="1"/>
  <c r="M16" i="5"/>
  <c r="O16" i="5" s="1"/>
  <c r="M222" i="5"/>
  <c r="O222" i="5" s="1"/>
  <c r="M208" i="5"/>
  <c r="O208" i="5" s="1"/>
  <c r="L183" i="5"/>
  <c r="N183" i="5" s="1"/>
  <c r="L139" i="5"/>
  <c r="N139" i="5" s="1"/>
  <c r="L206" i="5"/>
  <c r="N206" i="5" s="1"/>
  <c r="L198" i="5"/>
  <c r="N198" i="5" s="1"/>
  <c r="M231" i="5"/>
  <c r="O231" i="5" s="1"/>
  <c r="L177" i="5"/>
  <c r="N177" i="5" s="1"/>
  <c r="M175" i="5"/>
  <c r="O175" i="5" s="1"/>
  <c r="L157" i="5"/>
  <c r="N157" i="5" s="1"/>
  <c r="M154" i="5"/>
  <c r="O154" i="5" s="1"/>
  <c r="M152" i="5"/>
  <c r="O152" i="5" s="1"/>
  <c r="M148" i="5"/>
  <c r="O148" i="5" s="1"/>
  <c r="L128" i="5"/>
  <c r="N128" i="5" s="1"/>
  <c r="M125" i="5"/>
  <c r="O125" i="5" s="1"/>
  <c r="M116" i="5"/>
  <c r="O116" i="5" s="1"/>
  <c r="M104" i="5"/>
  <c r="O104" i="5" s="1"/>
  <c r="L101" i="5"/>
  <c r="N101" i="5" s="1"/>
  <c r="L91" i="5"/>
  <c r="N91" i="5" s="1"/>
  <c r="L85" i="5"/>
  <c r="N85" i="5" s="1"/>
  <c r="M75" i="5"/>
  <c r="O75" i="5" s="1"/>
  <c r="L70" i="5"/>
  <c r="N70" i="5" s="1"/>
  <c r="L59" i="5"/>
  <c r="N59" i="5" s="1"/>
  <c r="L49" i="5"/>
  <c r="N49" i="5" s="1"/>
  <c r="M22" i="5"/>
  <c r="O22" i="5" s="1"/>
  <c r="L12" i="5"/>
  <c r="N12" i="5" s="1"/>
  <c r="L184" i="5"/>
  <c r="N184" i="5" s="1"/>
  <c r="M182" i="5"/>
  <c r="O182" i="5" s="1"/>
  <c r="L182" i="5"/>
  <c r="N182" i="5" s="1"/>
  <c r="L25" i="5"/>
  <c r="N25" i="5" s="1"/>
  <c r="M25" i="5"/>
  <c r="O25" i="5" s="1"/>
  <c r="L13" i="5"/>
  <c r="N13" i="5" s="1"/>
  <c r="M11" i="5"/>
  <c r="O11" i="5" s="1"/>
  <c r="M227" i="5"/>
  <c r="O227" i="5" s="1"/>
  <c r="L227" i="5"/>
  <c r="N227" i="5" s="1"/>
  <c r="L221" i="5"/>
  <c r="N221" i="5" s="1"/>
  <c r="M221" i="5"/>
  <c r="O221" i="5" s="1"/>
  <c r="M211" i="5"/>
  <c r="O211" i="5" s="1"/>
  <c r="L207" i="5"/>
  <c r="N207" i="5" s="1"/>
  <c r="M199" i="5"/>
  <c r="O199" i="5" s="1"/>
  <c r="L199" i="5"/>
  <c r="N199" i="5" s="1"/>
  <c r="L194" i="5"/>
  <c r="N194" i="5" s="1"/>
  <c r="L191" i="5"/>
  <c r="N191" i="5" s="1"/>
  <c r="M191" i="5"/>
  <c r="O191" i="5" s="1"/>
  <c r="M180" i="5"/>
  <c r="O180" i="5" s="1"/>
  <c r="M188" i="5"/>
  <c r="O188" i="5" s="1"/>
  <c r="L188" i="5"/>
  <c r="N188" i="5" s="1"/>
  <c r="M155" i="5"/>
  <c r="O155" i="5" s="1"/>
  <c r="L147" i="5"/>
  <c r="N147" i="5" s="1"/>
  <c r="M145" i="5"/>
  <c r="O145" i="5" s="1"/>
  <c r="L145" i="5"/>
  <c r="N145" i="5" s="1"/>
  <c r="L143" i="5"/>
  <c r="N143" i="5" s="1"/>
  <c r="M143" i="5"/>
  <c r="O143" i="5" s="1"/>
  <c r="M138" i="5"/>
  <c r="O138" i="5" s="1"/>
  <c r="M136" i="5"/>
  <c r="O136" i="5" s="1"/>
  <c r="L136" i="5"/>
  <c r="N136" i="5" s="1"/>
  <c r="M134" i="5"/>
  <c r="O134" i="5" s="1"/>
  <c r="L134" i="5"/>
  <c r="N134" i="5" s="1"/>
  <c r="M119" i="5"/>
  <c r="O119" i="5" s="1"/>
  <c r="L114" i="5"/>
  <c r="N114" i="5" s="1"/>
  <c r="M111" i="5"/>
  <c r="O111" i="5" s="1"/>
  <c r="M103" i="5"/>
  <c r="O103" i="5" s="1"/>
  <c r="L103" i="5"/>
  <c r="N103" i="5" s="1"/>
  <c r="M98" i="5"/>
  <c r="O98" i="5" s="1"/>
  <c r="M95" i="5"/>
  <c r="O95" i="5" s="1"/>
  <c r="M68" i="5"/>
  <c r="O68" i="5" s="1"/>
  <c r="L111" i="5"/>
  <c r="N111" i="5" s="1"/>
  <c r="M217" i="5"/>
  <c r="O217" i="5" s="1"/>
  <c r="L205" i="5"/>
  <c r="N205" i="5" s="1"/>
  <c r="L176" i="5"/>
  <c r="N176" i="5" s="1"/>
  <c r="L166" i="5"/>
  <c r="N166" i="5" s="1"/>
  <c r="L11" i="5"/>
  <c r="N11" i="5" s="1"/>
  <c r="L211" i="5"/>
  <c r="N211" i="5" s="1"/>
  <c r="M194" i="5"/>
  <c r="O194" i="5" s="1"/>
  <c r="M184" i="5"/>
  <c r="O184" i="5" s="1"/>
  <c r="L155" i="5"/>
  <c r="N155" i="5" s="1"/>
  <c r="L119" i="5"/>
  <c r="N119" i="5" s="1"/>
  <c r="L98" i="5"/>
  <c r="N98" i="5" s="1"/>
  <c r="L68" i="5"/>
  <c r="N68" i="5" s="1"/>
  <c r="L154" i="5"/>
  <c r="N154" i="5" s="1"/>
  <c r="M196" i="5"/>
  <c r="O196" i="5" s="1"/>
  <c r="L196" i="5"/>
  <c r="N196" i="5" s="1"/>
  <c r="L230" i="5"/>
  <c r="N230" i="5" s="1"/>
  <c r="M225" i="5"/>
  <c r="O225" i="5" s="1"/>
  <c r="L225" i="5"/>
  <c r="N225" i="5" s="1"/>
  <c r="L223" i="5"/>
  <c r="N223" i="5" s="1"/>
  <c r="M223" i="5"/>
  <c r="O223" i="5" s="1"/>
  <c r="M219" i="5"/>
  <c r="O219" i="5" s="1"/>
  <c r="L217" i="5"/>
  <c r="N217" i="5" s="1"/>
  <c r="M213" i="5"/>
  <c r="O213" i="5" s="1"/>
  <c r="L213" i="5"/>
  <c r="N213" i="5" s="1"/>
  <c r="L209" i="5"/>
  <c r="N209" i="5" s="1"/>
  <c r="M209" i="5"/>
  <c r="O209" i="5" s="1"/>
  <c r="M205" i="5"/>
  <c r="O205" i="5" s="1"/>
  <c r="L203" i="5"/>
  <c r="N203" i="5" s="1"/>
  <c r="M201" i="5"/>
  <c r="O201" i="5" s="1"/>
  <c r="L201" i="5"/>
  <c r="N201" i="5" s="1"/>
  <c r="L197" i="5"/>
  <c r="N197" i="5" s="1"/>
  <c r="M197" i="5"/>
  <c r="O197" i="5" s="1"/>
  <c r="M186" i="5"/>
  <c r="O186" i="5" s="1"/>
  <c r="M178" i="5"/>
  <c r="O178" i="5" s="1"/>
  <c r="L178" i="5"/>
  <c r="N178" i="5" s="1"/>
  <c r="M176" i="5"/>
  <c r="O176" i="5" s="1"/>
  <c r="M174" i="5"/>
  <c r="O174" i="5" s="1"/>
  <c r="L174" i="5"/>
  <c r="N174" i="5" s="1"/>
  <c r="M170" i="5"/>
  <c r="O170" i="5" s="1"/>
  <c r="M168" i="5"/>
  <c r="O168" i="5" s="1"/>
  <c r="L168" i="5"/>
  <c r="N168" i="5" s="1"/>
  <c r="M166" i="5"/>
  <c r="O166" i="5" s="1"/>
  <c r="M164" i="5"/>
  <c r="O164" i="5" s="1"/>
  <c r="L164" i="5"/>
  <c r="N164" i="5" s="1"/>
  <c r="M162" i="5"/>
  <c r="O162" i="5" s="1"/>
  <c r="M160" i="5"/>
  <c r="O160" i="5" s="1"/>
  <c r="L160" i="5"/>
  <c r="N160" i="5" s="1"/>
  <c r="M158" i="5"/>
  <c r="O158" i="5" s="1"/>
  <c r="M153" i="5"/>
  <c r="O153" i="5" s="1"/>
  <c r="L153" i="5"/>
  <c r="N153" i="5" s="1"/>
  <c r="L151" i="5"/>
  <c r="N151" i="5" s="1"/>
  <c r="M151" i="5"/>
  <c r="O151" i="5" s="1"/>
  <c r="M149" i="5"/>
  <c r="O149" i="5" s="1"/>
  <c r="L142" i="5"/>
  <c r="N142" i="5" s="1"/>
  <c r="K112" i="5"/>
  <c r="L112" i="5" s="1"/>
  <c r="N112" i="5" s="1"/>
  <c r="M70" i="5"/>
  <c r="O70" i="5" s="1"/>
  <c r="K66" i="5"/>
  <c r="L66" i="5" s="1"/>
  <c r="N66" i="5" s="1"/>
  <c r="M52" i="5"/>
  <c r="O52" i="5" s="1"/>
  <c r="L52" i="5"/>
  <c r="N52" i="5" s="1"/>
  <c r="L48" i="5"/>
  <c r="N48" i="5" s="1"/>
  <c r="M48" i="5"/>
  <c r="O48" i="5" s="1"/>
  <c r="L46" i="5"/>
  <c r="N46" i="5" s="1"/>
  <c r="M38" i="5"/>
  <c r="O38" i="5" s="1"/>
  <c r="M35" i="5"/>
  <c r="O35" i="5" s="1"/>
  <c r="L35" i="5"/>
  <c r="N35" i="5" s="1"/>
  <c r="L29" i="5"/>
  <c r="N29" i="5" s="1"/>
  <c r="M29" i="5"/>
  <c r="O29" i="5" s="1"/>
  <c r="L172" i="5"/>
  <c r="N172" i="5" s="1"/>
  <c r="M171" i="5"/>
  <c r="O171" i="5" s="1"/>
  <c r="M105" i="5"/>
  <c r="O105" i="5" s="1"/>
  <c r="M101" i="5"/>
  <c r="O101" i="5" s="1"/>
  <c r="L90" i="5"/>
  <c r="N90" i="5" s="1"/>
  <c r="L73" i="5"/>
  <c r="N73" i="5" s="1"/>
  <c r="M57" i="5"/>
  <c r="O57" i="5" s="1"/>
  <c r="M49" i="5"/>
  <c r="O49" i="5" s="1"/>
  <c r="M40" i="5"/>
  <c r="O40" i="5" s="1"/>
  <c r="L16" i="5"/>
  <c r="N16" i="5" s="1"/>
  <c r="J54" i="5"/>
  <c r="K54" i="5"/>
  <c r="J27" i="5"/>
  <c r="K27" i="5"/>
  <c r="L97" i="5"/>
  <c r="N97" i="5" s="1"/>
  <c r="M97" i="5"/>
  <c r="O97" i="5" s="1"/>
  <c r="L69" i="5"/>
  <c r="N69" i="5" s="1"/>
  <c r="M69" i="5"/>
  <c r="O69" i="5" s="1"/>
  <c r="L53" i="5"/>
  <c r="N53" i="5" s="1"/>
  <c r="M53" i="5"/>
  <c r="O53" i="5" s="1"/>
  <c r="M36" i="5"/>
  <c r="O36" i="5" s="1"/>
  <c r="L171" i="5"/>
  <c r="N171" i="5" s="1"/>
  <c r="M226" i="5"/>
  <c r="O226" i="5" s="1"/>
  <c r="M220" i="5"/>
  <c r="O220" i="5" s="1"/>
  <c r="M214" i="5"/>
  <c r="O214" i="5" s="1"/>
  <c r="L204" i="5"/>
  <c r="N204" i="5" s="1"/>
  <c r="L200" i="5"/>
  <c r="N200" i="5" s="1"/>
  <c r="L181" i="5"/>
  <c r="N181" i="5" s="1"/>
  <c r="L173" i="5"/>
  <c r="N173" i="5" s="1"/>
  <c r="L169" i="5"/>
  <c r="N169" i="5" s="1"/>
  <c r="M167" i="5"/>
  <c r="O167" i="5" s="1"/>
  <c r="L161" i="5"/>
  <c r="N161" i="5" s="1"/>
  <c r="M159" i="5"/>
  <c r="O159" i="5" s="1"/>
  <c r="M150" i="5"/>
  <c r="O150" i="5" s="1"/>
  <c r="M141" i="5"/>
  <c r="O141" i="5" s="1"/>
  <c r="L130" i="5"/>
  <c r="N130" i="5" s="1"/>
  <c r="L126" i="5"/>
  <c r="N126" i="5" s="1"/>
  <c r="L120" i="5"/>
  <c r="N120" i="5" s="1"/>
  <c r="L115" i="5"/>
  <c r="N115" i="5" s="1"/>
  <c r="L105" i="5"/>
  <c r="N105" i="5" s="1"/>
  <c r="M90" i="5"/>
  <c r="O90" i="5" s="1"/>
  <c r="M73" i="5"/>
  <c r="O73" i="5" s="1"/>
  <c r="L67" i="5"/>
  <c r="N67" i="5" s="1"/>
  <c r="L57" i="5"/>
  <c r="N57" i="5" s="1"/>
  <c r="L43" i="5"/>
  <c r="N43" i="5" s="1"/>
  <c r="M26" i="5"/>
  <c r="O26" i="5" s="1"/>
  <c r="M18" i="5"/>
  <c r="O18" i="5" s="1"/>
  <c r="M5" i="5"/>
  <c r="O5" i="5" s="1"/>
  <c r="L7" i="5"/>
  <c r="N7" i="5" s="1"/>
  <c r="L14" i="5"/>
  <c r="N14" i="5" s="1"/>
  <c r="M228" i="5"/>
  <c r="O228" i="5" s="1"/>
  <c r="M212" i="5"/>
  <c r="O212" i="5" s="1"/>
  <c r="M189" i="5"/>
  <c r="O189" i="5" s="1"/>
  <c r="L195" i="5"/>
  <c r="N195" i="5" s="1"/>
  <c r="M193" i="5"/>
  <c r="O193" i="5" s="1"/>
  <c r="L179" i="5"/>
  <c r="N179" i="5" s="1"/>
  <c r="M187" i="5"/>
  <c r="O187" i="5" s="1"/>
  <c r="L156" i="5"/>
  <c r="N156" i="5" s="1"/>
  <c r="L144" i="5"/>
  <c r="N144" i="5" s="1"/>
  <c r="L135" i="5"/>
  <c r="N135" i="5" s="1"/>
  <c r="M133" i="5"/>
  <c r="O133" i="5" s="1"/>
  <c r="L113" i="5"/>
  <c r="N113" i="5" s="1"/>
  <c r="M108" i="5"/>
  <c r="O108" i="5" s="1"/>
  <c r="M94" i="5"/>
  <c r="O94" i="5" s="1"/>
  <c r="M60" i="5"/>
  <c r="O60" i="5" s="1"/>
  <c r="M51" i="5"/>
  <c r="O51" i="5" s="1"/>
  <c r="L36" i="5"/>
  <c r="N36" i="5" s="1"/>
  <c r="L23" i="5"/>
  <c r="N23" i="5" s="1"/>
  <c r="L95" i="5"/>
  <c r="N95" i="5" s="1"/>
  <c r="N38" i="5"/>
  <c r="M230" i="5"/>
  <c r="O230" i="5" s="1"/>
  <c r="L219" i="5"/>
  <c r="N219" i="5" s="1"/>
  <c r="M203" i="5"/>
  <c r="O203" i="5" s="1"/>
  <c r="L186" i="5"/>
  <c r="N186" i="5" s="1"/>
  <c r="M172" i="5"/>
  <c r="O172" i="5" s="1"/>
  <c r="L170" i="5"/>
  <c r="N170" i="5" s="1"/>
  <c r="L162" i="5"/>
  <c r="N162" i="5" s="1"/>
  <c r="M142" i="5"/>
  <c r="O142" i="5" s="1"/>
  <c r="L127" i="5"/>
  <c r="N127" i="5" s="1"/>
  <c r="L106" i="5"/>
  <c r="N106" i="5" s="1"/>
  <c r="M74" i="5"/>
  <c r="O74" i="5" s="1"/>
  <c r="L44" i="5"/>
  <c r="N44" i="5" s="1"/>
  <c r="L17" i="5"/>
  <c r="N17" i="5" s="1"/>
  <c r="L8" i="5"/>
  <c r="N8" i="5" s="1"/>
  <c r="M13" i="5"/>
  <c r="O13" i="5" s="1"/>
  <c r="M207" i="5"/>
  <c r="O207" i="5" s="1"/>
  <c r="L180" i="5"/>
  <c r="N180" i="5" s="1"/>
  <c r="M147" i="5"/>
  <c r="O147" i="5" s="1"/>
  <c r="L138" i="5"/>
  <c r="N138" i="5" s="1"/>
  <c r="M114" i="5"/>
  <c r="O114" i="5" s="1"/>
  <c r="M93" i="5"/>
  <c r="O93" i="5" s="1"/>
  <c r="M131" i="5"/>
  <c r="O131" i="5" s="1"/>
  <c r="L129" i="5"/>
  <c r="N129" i="5" s="1"/>
  <c r="M127" i="5"/>
  <c r="O127" i="5" s="1"/>
  <c r="L125" i="5"/>
  <c r="N125" i="5" s="1"/>
  <c r="M121" i="5"/>
  <c r="O121" i="5" s="1"/>
  <c r="L117" i="5"/>
  <c r="N117" i="5" s="1"/>
  <c r="M106" i="5"/>
  <c r="O106" i="5" s="1"/>
  <c r="L104" i="5"/>
  <c r="N104" i="5" s="1"/>
  <c r="M100" i="5"/>
  <c r="O100" i="5" s="1"/>
  <c r="L96" i="5"/>
  <c r="N96" i="5" s="1"/>
  <c r="M91" i="5"/>
  <c r="O91" i="5" s="1"/>
  <c r="M86" i="5"/>
  <c r="O86" i="5" s="1"/>
  <c r="L84" i="5"/>
  <c r="N84" i="5" s="1"/>
  <c r="M82" i="5"/>
  <c r="O82" i="5" s="1"/>
  <c r="L74" i="5"/>
  <c r="N74" i="5" s="1"/>
  <c r="M58" i="5"/>
  <c r="O58" i="5" s="1"/>
  <c r="L50" i="5"/>
  <c r="N50" i="5" s="1"/>
  <c r="M44" i="5"/>
  <c r="O44" i="5" s="1"/>
  <c r="L42" i="5"/>
  <c r="N42" i="5" s="1"/>
  <c r="M39" i="5"/>
  <c r="O39" i="5" s="1"/>
  <c r="M17" i="5"/>
  <c r="O17" i="5" s="1"/>
  <c r="L15" i="5"/>
  <c r="N15" i="5" s="1"/>
  <c r="M6" i="5"/>
  <c r="O6" i="5" s="1"/>
  <c r="M8" i="5"/>
  <c r="O8" i="5" s="1"/>
  <c r="M10" i="5"/>
  <c r="O10" i="5" s="1"/>
  <c r="L19" i="5"/>
  <c r="N19" i="5" s="1"/>
  <c r="L20" i="5"/>
  <c r="N20" i="5" s="1"/>
  <c r="M109" i="5"/>
  <c r="O109" i="5" s="1"/>
  <c r="L93" i="5"/>
  <c r="N93" i="5" s="1"/>
  <c r="L55" i="5"/>
  <c r="N55" i="5" s="1"/>
  <c r="M24" i="5"/>
  <c r="O24" i="5" s="1"/>
  <c r="M28" i="5"/>
  <c r="O28" i="5" s="1"/>
  <c r="O210" i="5"/>
  <c r="L210" i="5"/>
  <c r="N210" i="5" s="1"/>
  <c r="M110" i="5"/>
  <c r="O110" i="5" s="1"/>
  <c r="L108" i="5"/>
  <c r="N108" i="5" s="1"/>
  <c r="M102" i="5"/>
  <c r="O102" i="5" s="1"/>
  <c r="L94" i="5"/>
  <c r="N94" i="5" s="1"/>
  <c r="L60" i="5"/>
  <c r="N60" i="5" s="1"/>
  <c r="M56" i="5"/>
  <c r="O56" i="5" s="1"/>
  <c r="L51" i="5"/>
  <c r="N51" i="5" s="1"/>
  <c r="L47" i="5"/>
  <c r="N47" i="5" s="1"/>
  <c r="M23" i="5"/>
  <c r="O23" i="5" s="1"/>
  <c r="L231" i="5"/>
  <c r="N231" i="5" s="1"/>
  <c r="L226" i="5"/>
  <c r="N226" i="5" s="1"/>
  <c r="L224" i="5"/>
  <c r="N224" i="5" s="1"/>
  <c r="L220" i="5"/>
  <c r="N220" i="5" s="1"/>
  <c r="L218" i="5"/>
  <c r="N218" i="5" s="1"/>
  <c r="L214" i="5"/>
  <c r="N214" i="5" s="1"/>
  <c r="M206" i="5"/>
  <c r="O206" i="5" s="1"/>
  <c r="M204" i="5"/>
  <c r="O204" i="5" s="1"/>
  <c r="M202" i="5"/>
  <c r="O202" i="5" s="1"/>
  <c r="M200" i="5"/>
  <c r="O200" i="5" s="1"/>
  <c r="M192" i="5"/>
  <c r="O192" i="5" s="1"/>
  <c r="M181" i="5"/>
  <c r="O181" i="5" s="1"/>
  <c r="M177" i="5"/>
  <c r="O177" i="5" s="1"/>
  <c r="L175" i="5"/>
  <c r="N175" i="5" s="1"/>
  <c r="M173" i="5"/>
  <c r="O173" i="5" s="1"/>
  <c r="M169" i="5"/>
  <c r="O169" i="5" s="1"/>
  <c r="L167" i="5"/>
  <c r="N167" i="5" s="1"/>
  <c r="M165" i="5"/>
  <c r="O165" i="5" s="1"/>
  <c r="L163" i="5"/>
  <c r="N163" i="5" s="1"/>
  <c r="M161" i="5"/>
  <c r="O161" i="5" s="1"/>
  <c r="L159" i="5"/>
  <c r="N159" i="5" s="1"/>
  <c r="M157" i="5"/>
  <c r="O157" i="5" s="1"/>
  <c r="L152" i="5"/>
  <c r="N152" i="5" s="1"/>
  <c r="L150" i="5"/>
  <c r="N150" i="5" s="1"/>
  <c r="L148" i="5"/>
  <c r="N148" i="5" s="1"/>
  <c r="L141" i="5"/>
  <c r="N141" i="5" s="1"/>
  <c r="M132" i="5"/>
  <c r="O132" i="5" s="1"/>
  <c r="M130" i="5"/>
  <c r="O130" i="5" s="1"/>
  <c r="M128" i="5"/>
  <c r="O128" i="5" s="1"/>
  <c r="M126" i="5"/>
  <c r="O126" i="5" s="1"/>
  <c r="M124" i="5"/>
  <c r="O124" i="5" s="1"/>
  <c r="M120" i="5"/>
  <c r="O120" i="5" s="1"/>
  <c r="M115" i="5"/>
  <c r="O115" i="5" s="1"/>
  <c r="M107" i="5"/>
  <c r="O107" i="5" s="1"/>
  <c r="M85" i="5"/>
  <c r="O85" i="5" s="1"/>
  <c r="L75" i="5"/>
  <c r="N75" i="5" s="1"/>
  <c r="L71" i="5"/>
  <c r="N71" i="5" s="1"/>
  <c r="M67" i="5"/>
  <c r="O67" i="5" s="1"/>
  <c r="M59" i="5"/>
  <c r="O59" i="5" s="1"/>
  <c r="M43" i="5"/>
  <c r="O43" i="5" s="1"/>
  <c r="L26" i="5"/>
  <c r="N26" i="5" s="1"/>
  <c r="L22" i="5"/>
  <c r="N22" i="5" s="1"/>
  <c r="L18" i="5"/>
  <c r="N18" i="5" s="1"/>
  <c r="L5" i="5"/>
  <c r="N5" i="5" s="1"/>
  <c r="M7" i="5"/>
  <c r="O7" i="5" s="1"/>
  <c r="L9" i="5"/>
  <c r="N9" i="5" s="1"/>
  <c r="L116" i="5"/>
  <c r="N116" i="5" s="1"/>
  <c r="L32" i="5"/>
  <c r="N32" i="5" s="1"/>
  <c r="M14" i="5"/>
  <c r="O14" i="5" s="1"/>
  <c r="M12" i="5"/>
  <c r="O12" i="5" s="1"/>
  <c r="L228" i="5"/>
  <c r="N228" i="5" s="1"/>
  <c r="L222" i="5"/>
  <c r="N222" i="5" s="1"/>
  <c r="L212" i="5"/>
  <c r="N212" i="5" s="1"/>
  <c r="L208" i="5"/>
  <c r="N208" i="5" s="1"/>
  <c r="L189" i="5"/>
  <c r="N189" i="5" s="1"/>
  <c r="M198" i="5"/>
  <c r="O198" i="5" s="1"/>
  <c r="M195" i="5"/>
  <c r="O195" i="5" s="1"/>
  <c r="L193" i="5"/>
  <c r="N193" i="5" s="1"/>
  <c r="M190" i="5"/>
  <c r="O190" i="5" s="1"/>
  <c r="M179" i="5"/>
  <c r="O179" i="5" s="1"/>
  <c r="L187" i="5"/>
  <c r="N187" i="5" s="1"/>
  <c r="M183" i="5"/>
  <c r="O183" i="5" s="1"/>
  <c r="M156" i="5"/>
  <c r="O156" i="5" s="1"/>
  <c r="M146" i="5"/>
  <c r="O146" i="5" s="1"/>
  <c r="M144" i="5"/>
  <c r="O144" i="5" s="1"/>
  <c r="M139" i="5"/>
  <c r="O139" i="5" s="1"/>
  <c r="L137" i="5"/>
  <c r="N137" i="5" s="1"/>
  <c r="M135" i="5"/>
  <c r="O135" i="5" s="1"/>
  <c r="L133" i="5"/>
  <c r="N133" i="5" s="1"/>
  <c r="M118" i="5"/>
  <c r="O118" i="5" s="1"/>
  <c r="M113" i="5"/>
  <c r="O113" i="5" s="1"/>
  <c r="L102" i="5"/>
  <c r="N102" i="5" s="1"/>
  <c r="M47" i="5"/>
  <c r="O47" i="5" s="1"/>
  <c r="L28" i="5"/>
  <c r="N28" i="5" s="1"/>
  <c r="L131" i="5"/>
  <c r="N131" i="5" s="1"/>
  <c r="M129" i="5"/>
  <c r="O129" i="5" s="1"/>
  <c r="L121" i="5"/>
  <c r="N121" i="5" s="1"/>
  <c r="M117" i="5"/>
  <c r="O117" i="5" s="1"/>
  <c r="L100" i="5"/>
  <c r="N100" i="5" s="1"/>
  <c r="M96" i="5"/>
  <c r="O96" i="5" s="1"/>
  <c r="L86" i="5"/>
  <c r="N86" i="5" s="1"/>
  <c r="M84" i="5"/>
  <c r="O84" i="5" s="1"/>
  <c r="L58" i="5"/>
  <c r="N58" i="5" s="1"/>
  <c r="M42" i="5"/>
  <c r="O42" i="5" s="1"/>
  <c r="L39" i="5"/>
  <c r="N39" i="5" s="1"/>
  <c r="M15" i="5"/>
  <c r="O15" i="5" s="1"/>
  <c r="L6" i="5"/>
  <c r="N6" i="5" s="1"/>
  <c r="L10" i="5"/>
  <c r="N10" i="5" s="1"/>
  <c r="M20" i="5"/>
  <c r="O20" i="5" s="1"/>
  <c r="L109" i="5"/>
  <c r="N109" i="5" s="1"/>
  <c r="M55" i="5"/>
  <c r="O55" i="5" s="1"/>
  <c r="L24" i="5"/>
  <c r="N24" i="5" s="1"/>
  <c r="M4" i="5"/>
  <c r="O4" i="5" s="1"/>
  <c r="L4" i="5"/>
  <c r="N4" i="5" s="1"/>
  <c r="K30" i="5"/>
  <c r="K45" i="5"/>
  <c r="K33" i="5"/>
  <c r="M33" i="5" s="1"/>
  <c r="J99" i="5"/>
  <c r="J37" i="5"/>
  <c r="L37" i="5" s="1"/>
  <c r="J31" i="5"/>
  <c r="M61" i="5" l="1"/>
  <c r="O61" i="5" s="1"/>
  <c r="L83" i="5"/>
  <c r="N83" i="5" s="1"/>
  <c r="P131" i="5"/>
  <c r="L92" i="5"/>
  <c r="N92" i="5" s="1"/>
  <c r="D80" i="5"/>
  <c r="D76" i="5"/>
  <c r="D79" i="5"/>
  <c r="D78" i="5"/>
  <c r="D81" i="5"/>
  <c r="D77" i="5"/>
  <c r="D89" i="5"/>
  <c r="K89" i="5" s="1"/>
  <c r="D88" i="5"/>
  <c r="K88" i="5" s="1"/>
  <c r="D87" i="5"/>
  <c r="K87" i="5" s="1"/>
  <c r="P192" i="5"/>
  <c r="P158" i="5"/>
  <c r="M140" i="5"/>
  <c r="O140" i="5" s="1"/>
  <c r="P140" i="5" s="1"/>
  <c r="P137" i="5"/>
  <c r="P117" i="5"/>
  <c r="P24" i="5"/>
  <c r="P107" i="5"/>
  <c r="P187" i="5"/>
  <c r="P101" i="5"/>
  <c r="P73" i="5"/>
  <c r="L72" i="5"/>
  <c r="N72" i="5" s="1"/>
  <c r="P72" i="5" s="1"/>
  <c r="M66" i="5"/>
  <c r="O66" i="5" s="1"/>
  <c r="P66" i="5" s="1"/>
  <c r="P47" i="5"/>
  <c r="P23" i="5"/>
  <c r="P9" i="5"/>
  <c r="P61" i="5"/>
  <c r="P113" i="5"/>
  <c r="P189" i="5"/>
  <c r="P124" i="5"/>
  <c r="P163" i="5"/>
  <c r="P69" i="5"/>
  <c r="M34" i="5"/>
  <c r="O34" i="5" s="1"/>
  <c r="P34" i="5" s="1"/>
  <c r="P160" i="5"/>
  <c r="P183" i="5"/>
  <c r="P193" i="5"/>
  <c r="P12" i="5"/>
  <c r="P92" i="5"/>
  <c r="P115" i="5"/>
  <c r="P206" i="5"/>
  <c r="P104" i="5"/>
  <c r="P97" i="5"/>
  <c r="P49" i="5"/>
  <c r="P128" i="5"/>
  <c r="P159" i="5"/>
  <c r="P167" i="5"/>
  <c r="P175" i="5"/>
  <c r="P50" i="5"/>
  <c r="P146" i="5"/>
  <c r="P145" i="5"/>
  <c r="P133" i="5"/>
  <c r="P130" i="5"/>
  <c r="P194" i="5"/>
  <c r="P46" i="5"/>
  <c r="P118" i="5"/>
  <c r="P120" i="5"/>
  <c r="P199" i="5"/>
  <c r="P198" i="5"/>
  <c r="P227" i="5"/>
  <c r="P225" i="5"/>
  <c r="P212" i="5"/>
  <c r="P211" i="5"/>
  <c r="P202" i="5"/>
  <c r="P200" i="5"/>
  <c r="P195" i="5"/>
  <c r="P182" i="5"/>
  <c r="P184" i="5"/>
  <c r="P179" i="5"/>
  <c r="P176" i="5"/>
  <c r="P171" i="5"/>
  <c r="P166" i="5"/>
  <c r="P154" i="5"/>
  <c r="P155" i="5"/>
  <c r="P143" i="5"/>
  <c r="P144" i="5"/>
  <c r="P132" i="5"/>
  <c r="P126" i="5"/>
  <c r="P116" i="5"/>
  <c r="P108" i="5"/>
  <c r="P102" i="5"/>
  <c r="P103" i="5"/>
  <c r="P98" i="5"/>
  <c r="P85" i="5"/>
  <c r="P67" i="5"/>
  <c r="P59" i="5"/>
  <c r="P56" i="5"/>
  <c r="P52" i="5"/>
  <c r="P38" i="5"/>
  <c r="P35" i="5"/>
  <c r="P29" i="5"/>
  <c r="P20" i="5"/>
  <c r="P13" i="5"/>
  <c r="P11" i="5"/>
  <c r="P226" i="5"/>
  <c r="P220" i="5"/>
  <c r="P214" i="5"/>
  <c r="P217" i="5"/>
  <c r="P204" i="5"/>
  <c r="P181" i="5"/>
  <c r="P178" i="5"/>
  <c r="P172" i="5"/>
  <c r="P173" i="5"/>
  <c r="P170" i="5"/>
  <c r="P153" i="5"/>
  <c r="P149" i="5"/>
  <c r="P151" i="5"/>
  <c r="P142" i="5"/>
  <c r="P121" i="5"/>
  <c r="P125" i="5"/>
  <c r="P106" i="5"/>
  <c r="P100" i="5"/>
  <c r="P58" i="5"/>
  <c r="P44" i="5"/>
  <c r="P39" i="5"/>
  <c r="P43" i="5"/>
  <c r="P26" i="5"/>
  <c r="P25" i="5"/>
  <c r="P19" i="5"/>
  <c r="P15" i="5"/>
  <c r="P17" i="5"/>
  <c r="P8" i="5"/>
  <c r="P4" i="5"/>
  <c r="P109" i="5"/>
  <c r="P10" i="5"/>
  <c r="P127" i="5"/>
  <c r="P51" i="5"/>
  <c r="P135" i="5"/>
  <c r="P230" i="5"/>
  <c r="P5" i="5"/>
  <c r="P141" i="5"/>
  <c r="P28" i="5"/>
  <c r="P6" i="5"/>
  <c r="P129" i="5"/>
  <c r="P219" i="5"/>
  <c r="P150" i="5"/>
  <c r="P90" i="5"/>
  <c r="P168" i="5"/>
  <c r="P186" i="5"/>
  <c r="P201" i="5"/>
  <c r="P203" i="5"/>
  <c r="P213" i="5"/>
  <c r="P68" i="5"/>
  <c r="P134" i="5"/>
  <c r="P180" i="5"/>
  <c r="P207" i="5"/>
  <c r="M31" i="5"/>
  <c r="O31" i="5" s="1"/>
  <c r="L31" i="5"/>
  <c r="N31" i="5" s="1"/>
  <c r="L99" i="5"/>
  <c r="N99" i="5" s="1"/>
  <c r="M99" i="5"/>
  <c r="O99" i="5" s="1"/>
  <c r="M45" i="5"/>
  <c r="O45" i="5" s="1"/>
  <c r="P53" i="5"/>
  <c r="P60" i="5"/>
  <c r="P57" i="5"/>
  <c r="P157" i="5"/>
  <c r="P165" i="5"/>
  <c r="P169" i="5"/>
  <c r="P111" i="5"/>
  <c r="P42" i="5"/>
  <c r="P74" i="5"/>
  <c r="P84" i="5"/>
  <c r="P190" i="5"/>
  <c r="P228" i="5"/>
  <c r="M27" i="5"/>
  <c r="O27" i="5" s="1"/>
  <c r="L27" i="5"/>
  <c r="N27" i="5" s="1"/>
  <c r="M54" i="5"/>
  <c r="O54" i="5" s="1"/>
  <c r="L54" i="5"/>
  <c r="N54" i="5" s="1"/>
  <c r="P18" i="5"/>
  <c r="P94" i="5"/>
  <c r="P105" i="5"/>
  <c r="P161" i="5"/>
  <c r="P136" i="5"/>
  <c r="P188" i="5"/>
  <c r="P82" i="5"/>
  <c r="P86" i="5"/>
  <c r="P96" i="5"/>
  <c r="P162" i="5"/>
  <c r="P156" i="5"/>
  <c r="P14" i="5"/>
  <c r="P71" i="5"/>
  <c r="P83" i="5"/>
  <c r="P148" i="5"/>
  <c r="P152" i="5"/>
  <c r="P218" i="5"/>
  <c r="P224" i="5"/>
  <c r="P231" i="5"/>
  <c r="P48" i="5"/>
  <c r="P91" i="5"/>
  <c r="P197" i="5"/>
  <c r="P209" i="5"/>
  <c r="P223" i="5"/>
  <c r="P55" i="5"/>
  <c r="P93" i="5"/>
  <c r="P114" i="5"/>
  <c r="P119" i="5"/>
  <c r="P147" i="5"/>
  <c r="P191" i="5"/>
  <c r="P221" i="5"/>
  <c r="P164" i="5"/>
  <c r="P174" i="5"/>
  <c r="M37" i="5"/>
  <c r="O37" i="5" s="1"/>
  <c r="N37" i="5"/>
  <c r="O33" i="5"/>
  <c r="P196" i="5"/>
  <c r="P36" i="5"/>
  <c r="P110" i="5"/>
  <c r="P139" i="5"/>
  <c r="P7" i="5"/>
  <c r="P16" i="5"/>
  <c r="P40" i="5"/>
  <c r="P177" i="5"/>
  <c r="P210" i="5"/>
  <c r="P32" i="5"/>
  <c r="P95" i="5"/>
  <c r="P138" i="5"/>
  <c r="L33" i="5"/>
  <c r="N33" i="5" s="1"/>
  <c r="L45" i="5"/>
  <c r="N45" i="5" s="1"/>
  <c r="P208" i="5"/>
  <c r="P222" i="5"/>
  <c r="P22" i="5"/>
  <c r="P75" i="5"/>
  <c r="P70" i="5"/>
  <c r="P205" i="5"/>
  <c r="L30" i="5"/>
  <c r="N30" i="5" s="1"/>
  <c r="M30" i="5"/>
  <c r="O30" i="5" s="1"/>
  <c r="M112" i="5"/>
  <c r="O112" i="5" s="1"/>
  <c r="P112" i="5" s="1"/>
  <c r="P30" i="5" l="1"/>
  <c r="J88" i="5"/>
  <c r="J89" i="5"/>
  <c r="K77" i="5"/>
  <c r="J77" i="5"/>
  <c r="K76" i="5"/>
  <c r="J76" i="5"/>
  <c r="K78" i="5"/>
  <c r="J78" i="5"/>
  <c r="K79" i="5"/>
  <c r="J79" i="5"/>
  <c r="J87" i="5"/>
  <c r="M87" i="5" s="1"/>
  <c r="O87" i="5" s="1"/>
  <c r="K81" i="5"/>
  <c r="J81" i="5"/>
  <c r="K80" i="5"/>
  <c r="J80" i="5"/>
  <c r="P31" i="5"/>
  <c r="P37" i="5"/>
  <c r="P54" i="5"/>
  <c r="P33" i="5"/>
  <c r="P27" i="5"/>
  <c r="P45" i="5"/>
  <c r="P99" i="5"/>
  <c r="M80" i="5" l="1"/>
  <c r="O80" i="5" s="1"/>
  <c r="M78" i="5"/>
  <c r="O78" i="5" s="1"/>
  <c r="L79" i="5"/>
  <c r="N79" i="5" s="1"/>
  <c r="M81" i="5"/>
  <c r="O81" i="5" s="1"/>
  <c r="L80" i="5"/>
  <c r="N80" i="5" s="1"/>
  <c r="P80" i="5" s="1"/>
  <c r="L81" i="5"/>
  <c r="N81" i="5" s="1"/>
  <c r="M79" i="5"/>
  <c r="O79" i="5" s="1"/>
  <c r="P79" i="5" s="1"/>
  <c r="L78" i="5"/>
  <c r="N78" i="5" s="1"/>
  <c r="M77" i="5"/>
  <c r="O77" i="5" s="1"/>
  <c r="M89" i="5"/>
  <c r="O89" i="5" s="1"/>
  <c r="L88" i="5"/>
  <c r="N88" i="5" s="1"/>
  <c r="L87" i="5"/>
  <c r="N87" i="5" s="1"/>
  <c r="P87" i="5" s="1"/>
  <c r="L89" i="5"/>
  <c r="N89" i="5" s="1"/>
  <c r="M76" i="5"/>
  <c r="O76" i="5" s="1"/>
  <c r="L76" i="5"/>
  <c r="N76" i="5" s="1"/>
  <c r="L77" i="5"/>
  <c r="N77" i="5" s="1"/>
  <c r="M88" i="5"/>
  <c r="O88" i="5" s="1"/>
  <c r="P77" i="5" l="1"/>
  <c r="P81" i="5"/>
  <c r="P89" i="5"/>
  <c r="P78" i="5"/>
  <c r="P88" i="5"/>
  <c r="P76" i="5"/>
  <c r="C82" i="3"/>
  <c r="C81" i="3" l="1"/>
  <c r="C80" i="3" l="1"/>
  <c r="B62" i="3"/>
  <c r="C59" i="3" s="1"/>
  <c r="C60" i="3" l="1"/>
  <c r="C61" i="3"/>
  <c r="B10" i="3"/>
  <c r="C9" i="3" s="1"/>
  <c r="C8" i="3" l="1"/>
  <c r="B94" i="3"/>
  <c r="B87" i="3" l="1"/>
  <c r="B47" i="3" l="1"/>
  <c r="C92" i="3" l="1"/>
  <c r="C46" i="3"/>
  <c r="C45" i="3"/>
  <c r="B97" i="3"/>
  <c r="C93" i="3"/>
  <c r="B91" i="3"/>
  <c r="C88" i="3" s="1"/>
  <c r="C86" i="3"/>
  <c r="B78" i="3"/>
  <c r="C76" i="3" s="1"/>
  <c r="B74" i="3"/>
  <c r="B69" i="3"/>
  <c r="C66" i="3" s="1"/>
  <c r="B65" i="3"/>
  <c r="B57" i="3"/>
  <c r="C55" i="3" s="1"/>
  <c r="B54" i="3"/>
  <c r="C52" i="3" s="1"/>
  <c r="B51" i="3"/>
  <c r="C49" i="3" s="1"/>
  <c r="B43" i="3"/>
  <c r="B30" i="3"/>
  <c r="C29" i="3" s="1"/>
  <c r="B27" i="3"/>
  <c r="C26" i="3" s="1"/>
  <c r="B24" i="3"/>
  <c r="C23" i="3" s="1"/>
  <c r="B21" i="3"/>
  <c r="B18" i="3"/>
  <c r="C17" i="3" s="1"/>
  <c r="B13" i="3"/>
  <c r="C11" i="3" s="1"/>
  <c r="B7" i="3"/>
  <c r="C95" i="3" l="1"/>
  <c r="C96" i="3"/>
  <c r="C85" i="3"/>
  <c r="C53" i="3"/>
  <c r="C48" i="3"/>
  <c r="C25" i="3"/>
  <c r="C22" i="3"/>
  <c r="C12" i="3"/>
  <c r="C5" i="3"/>
  <c r="C6" i="3"/>
  <c r="C16" i="3"/>
  <c r="C68" i="3"/>
  <c r="C67" i="3"/>
  <c r="C14" i="3"/>
  <c r="C28" i="3"/>
  <c r="C50" i="3"/>
  <c r="C56" i="3"/>
  <c r="C75" i="3"/>
  <c r="C89" i="3"/>
  <c r="C71" i="3"/>
  <c r="C70" i="3"/>
  <c r="C73" i="3"/>
  <c r="C72" i="3"/>
  <c r="C15" i="3"/>
  <c r="C84" i="3"/>
  <c r="C90" i="3"/>
  <c r="C20" i="3"/>
  <c r="C19" i="3"/>
  <c r="C64" i="3"/>
  <c r="C63" i="3"/>
  <c r="C42" i="3"/>
  <c r="C37" i="3"/>
  <c r="C40" i="3"/>
  <c r="C41" i="3"/>
  <c r="C38" i="3"/>
  <c r="C39" i="3"/>
</calcChain>
</file>

<file path=xl/sharedStrings.xml><?xml version="1.0" encoding="utf-8"?>
<sst xmlns="http://schemas.openxmlformats.org/spreadsheetml/2006/main" count="557" uniqueCount="267">
  <si>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</si>
  <si>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</si>
  <si>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</si>
  <si>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</si>
  <si>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</si>
  <si>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</si>
  <si>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</si>
  <si>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</si>
  <si>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</si>
  <si>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</si>
  <si>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</si>
  <si>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</si>
  <si>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</si>
  <si>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</si>
  <si>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</si>
  <si>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</si>
  <si>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</si>
  <si>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</si>
  <si>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</si>
  <si>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</si>
  <si>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</si>
  <si>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</si>
  <si>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</si>
  <si>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</si>
  <si>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</si>
  <si>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</si>
  <si>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</si>
  <si>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</si>
  <si>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</si>
  <si>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</si>
  <si>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</si>
  <si>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</si>
  <si>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</si>
  <si>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</si>
  <si>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</si>
  <si>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</si>
  <si>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</si>
  <si>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</si>
  <si>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</si>
  <si>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</si>
  <si>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</si>
  <si>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</si>
  <si>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</si>
  <si>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</si>
  <si>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</si>
  <si>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</si>
  <si>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</si>
  <si>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</si>
  <si>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</si>
  <si>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</si>
  <si>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</si>
  <si>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</si>
  <si>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</si>
  <si>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</si>
  <si>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</si>
  <si>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</si>
  <si>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</si>
  <si>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</si>
  <si>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</si>
  <si>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</si>
  <si>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</si>
  <si>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</si>
  <si>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</si>
  <si>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</si>
  <si>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</si>
  <si>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</si>
  <si>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</si>
  <si>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</si>
  <si>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</si>
  <si>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</si>
  <si>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</si>
  <si>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</si>
  <si>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</si>
  <si>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</si>
  <si>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</si>
  <si>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</si>
  <si>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</si>
  <si>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</si>
  <si>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</si>
  <si>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19 линия д.6А</t>
  </si>
  <si>
    <t>20 линия д.9</t>
  </si>
  <si>
    <t>Детская ул., д.17 Г с гвс кв.1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</si>
  <si>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</si>
  <si>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</si>
  <si>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</si>
  <si>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</si>
  <si>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</si>
  <si>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</si>
  <si>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</si>
  <si>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</si>
  <si>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</si>
  <si>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</si>
  <si>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</si>
  <si>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</si>
  <si>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</si>
  <si>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</si>
  <si>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</si>
  <si>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</si>
  <si>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</si>
  <si>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</si>
  <si>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</si>
  <si>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</si>
  <si>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</si>
  <si>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</si>
  <si>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</si>
  <si>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</si>
  <si>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 xml:space="preserve">Наличная ул., д.15 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</si>
  <si>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</si>
  <si>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</si>
  <si>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</si>
  <si>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</si>
  <si>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</si>
  <si>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</si>
  <si>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</si>
  <si>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</si>
  <si>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</si>
  <si>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</si>
  <si>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19 линия д.6</t>
  </si>
  <si>
    <t>18 линия д.13</t>
  </si>
  <si>
    <t>Гаванская ул., д.14 лит.Д (+Г)</t>
  </si>
  <si>
    <t>Гаванская ул., д.47 А (+УМВД)</t>
  </si>
  <si>
    <t>Кол-во человек</t>
  </si>
  <si>
    <t>ГВС</t>
  </si>
  <si>
    <t>Беринга ул., д.32 к.1</t>
  </si>
  <si>
    <t>Детская ул., д.17А с гвс общ.</t>
  </si>
  <si>
    <t>Детская ул., д.17 ж/д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</si>
  <si>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</si>
  <si>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</si>
  <si>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</si>
  <si>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</si>
  <si>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</si>
  <si>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</si>
  <si>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</si>
  <si>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</si>
  <si>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</si>
  <si>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</si>
  <si>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 xml:space="preserve">Карташихина ул., д.22 А </t>
  </si>
  <si>
    <t>Карташихина ул., д.22 А с гвс</t>
  </si>
  <si>
    <t>Наличная ул., д.21</t>
  </si>
  <si>
    <t>Наличная ул., д.21 лит.Г с гвс</t>
  </si>
  <si>
    <t>Наличная ул., д.21 лит.А с гвс</t>
  </si>
  <si>
    <t>Морская наб., д.9 лит.В</t>
  </si>
  <si>
    <t>Большой пр., д.62</t>
  </si>
  <si>
    <t>Нахимова ул., д.1</t>
  </si>
  <si>
    <t>опочин.16</t>
  </si>
  <si>
    <t>Наличная ул., д.21 лит.Г с гвс(с учетом площади Опоч.16)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</si>
  <si>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</si>
  <si>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</si>
  <si>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</si>
  <si>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</si>
  <si>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</si>
  <si>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</si>
  <si>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</si>
  <si>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</si>
  <si>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</si>
  <si>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</si>
  <si>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</si>
  <si>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</si>
  <si>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</si>
  <si>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</si>
  <si>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</si>
  <si>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</si>
  <si>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</si>
  <si>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</si>
  <si>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</si>
  <si>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</si>
  <si>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</si>
  <si>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</si>
  <si>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</si>
  <si>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</si>
  <si>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</si>
  <si>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</si>
  <si>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</si>
  <si>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</si>
  <si>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</si>
  <si>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д.17 ж/д.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</si>
  <si>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</si>
  <si>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</si>
  <si>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</si>
  <si>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</si>
  <si>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</si>
  <si>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</si>
  <si>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</si>
  <si>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Карташихина ул., д.21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</si>
  <si>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</si>
  <si>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</si>
  <si>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</si>
  <si>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</si>
  <si>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</si>
  <si>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</si>
  <si>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</si>
  <si>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</si>
  <si>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</si>
  <si>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</si>
  <si>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</si>
  <si>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</si>
  <si>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</si>
  <si>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</si>
  <si>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</si>
  <si>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</si>
  <si>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</si>
  <si>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</si>
  <si>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</si>
  <si>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</si>
  <si>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</si>
  <si>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</si>
  <si>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</si>
  <si>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</si>
  <si>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</si>
  <si>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</si>
  <si>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</si>
  <si>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</si>
  <si>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</si>
  <si>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</si>
  <si>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</si>
  <si>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</si>
  <si>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</si>
  <si>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</si>
  <si>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</si>
  <si>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</si>
  <si>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</si>
  <si>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</si>
  <si>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</si>
  <si>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</si>
  <si>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</si>
  <si>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Макарова наб., д.34</t>
  </si>
  <si>
    <t>Наличная ул., д.12</t>
  </si>
  <si>
    <t xml:space="preserve">Наличная ул., д.21 </t>
  </si>
  <si>
    <t>Адрес МКД</t>
  </si>
  <si>
    <t>18 линия 13 Возрождение</t>
  </si>
  <si>
    <t>Распределение "сцепки" Гкал</t>
  </si>
  <si>
    <t>Общая площадь(ж+н/ж+об.им.), м2</t>
  </si>
  <si>
    <t>Площадь жилая, м2</t>
  </si>
  <si>
    <t>Площадь нежилая, м2</t>
  </si>
  <si>
    <t>Плодадь общ.им-ва дома, м2</t>
  </si>
  <si>
    <t>инд.жилые помещения</t>
  </si>
  <si>
    <t>инд.нежилые помещения</t>
  </si>
  <si>
    <t>Площадь жилая +нежилая</t>
  </si>
  <si>
    <t>Площадь с ИПУ на отопление. М2</t>
  </si>
  <si>
    <t>Общ.им-во</t>
  </si>
  <si>
    <t>общ.им-во жилая часть</t>
  </si>
  <si>
    <t>общ.им-во нежилая часть</t>
  </si>
  <si>
    <t>потребление</t>
  </si>
  <si>
    <t>Жилая часть</t>
  </si>
  <si>
    <t>Нежилая часть</t>
  </si>
  <si>
    <t>Проверка (расход по ОДПУ минус жил.инд плюс нежил.инд плюс Оижил плюс ОИ нежил.)</t>
  </si>
  <si>
    <t>Расход ОДПУ</t>
  </si>
  <si>
    <t>Расход</t>
  </si>
  <si>
    <t>Итого</t>
  </si>
  <si>
    <t>за минусом квартир с газовым отоплением 223.9м2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</si>
  <si>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</si>
  <si>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</si>
  <si>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</si>
  <si>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</si>
  <si>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</si>
  <si>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</si>
  <si>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</si>
  <si>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</si>
  <si>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</si>
  <si>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</si>
  <si>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</si>
  <si>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</si>
  <si>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</si>
  <si>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</si>
  <si>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Расход ГВС м3</t>
  </si>
  <si>
    <t>Расход  Отопление Гкал</t>
  </si>
  <si>
    <t xml:space="preserve">Расход  Отопление и ГВС  по ОДПУ за Декабрь  месяц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</si>
</sst>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7" borderId="10" applyNumberFormat="0" applyAlignment="0" applyProtection="0"/>
    <xf numFmtId="0" fontId="14" fillId="8" borderId="11" applyNumberFormat="0" applyAlignment="0" applyProtection="0"/>
    <xf numFmtId="0" fontId="15" fillId="8" borderId="10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9" borderId="13" applyNumberFormat="0" applyAlignment="0" applyProtection="0"/>
    <xf numFmtId="0" fontId="21" fillId="6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0" borderId="14" applyNumberFormat="0" applyFon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10" applyNumberFormat="0" applyAlignment="0" applyProtection="0"/>
    <xf numFmtId="0" fontId="35" fillId="8" borderId="11" applyNumberFormat="0" applyAlignment="0" applyProtection="0"/>
    <xf numFmtId="0" fontId="36" fillId="8" borderId="10" applyNumberFormat="0" applyAlignment="0" applyProtection="0"/>
    <xf numFmtId="0" fontId="37" fillId="0" borderId="12" applyNumberFormat="0" applyFill="0" applyAlignment="0" applyProtection="0"/>
    <xf numFmtId="0" fontId="38" fillId="9" borderId="13" applyNumberFormat="0" applyAlignment="0" applyProtection="0"/>
    <xf numFmtId="0" fontId="39" fillId="0" borderId="0" applyNumberFormat="0" applyFill="0" applyBorder="0" applyAlignment="0" applyProtection="0"/>
    <xf numFmtId="0" fontId="27" fillId="10" borderId="14" applyNumberFormat="0" applyFont="0" applyAlignment="0" applyProtection="0"/>
    <xf numFmtId="0" fontId="40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4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>
      <alignment horizontal="center"/>
    </xf>
  </cellStyleXfs>
  <cellXfs count="96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6" fillId="3" borderId="0" xfId="0" applyFont="1" applyFill="1"/>
    <xf numFmtId="0" fontId="0" fillId="2" borderId="0" xfId="0" applyFill="1"/>
    <xf numFmtId="0" fontId="6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vertical="center"/>
    </xf>
    <xf numFmtId="4" fontId="0" fillId="0" borderId="2" xfId="0" applyNumberFormat="1" applyBorder="1"/>
    <xf numFmtId="4" fontId="6" fillId="3" borderId="2" xfId="0" applyNumberFormat="1" applyFont="1" applyFill="1" applyBorder="1"/>
    <xf numFmtId="4" fontId="0" fillId="2" borderId="2" xfId="0" applyNumberFormat="1" applyFont="1" applyFill="1" applyBorder="1"/>
    <xf numFmtId="4" fontId="0" fillId="2" borderId="2" xfId="0" applyNumberFormat="1" applyFill="1" applyBorder="1"/>
    <xf numFmtId="4" fontId="0" fillId="0" borderId="0" xfId="0" applyNumberFormat="1"/>
    <xf numFmtId="3" fontId="0" fillId="0" borderId="2" xfId="0" applyNumberFormat="1" applyBorder="1"/>
    <xf numFmtId="3" fontId="6" fillId="3" borderId="2" xfId="0" applyNumberFormat="1" applyFont="1" applyFill="1" applyBorder="1"/>
    <xf numFmtId="3" fontId="0" fillId="2" borderId="2" xfId="0" applyNumberFormat="1" applyFont="1" applyFill="1" applyBorder="1"/>
    <xf numFmtId="3" fontId="6" fillId="2" borderId="2" xfId="0" applyNumberFormat="1" applyFont="1" applyFill="1" applyBorder="1"/>
    <xf numFmtId="3" fontId="0" fillId="0" borderId="0" xfId="0" applyNumberFormat="1"/>
    <xf numFmtId="2" fontId="0" fillId="2" borderId="0" xfId="0" applyNumberFormat="1" applyFill="1"/>
    <xf numFmtId="2" fontId="43" fillId="0" borderId="16" xfId="83" applyNumberFormat="1" applyFont="1" applyFill="1" applyBorder="1" applyAlignment="1">
      <alignment shrinkToFit="1"/>
    </xf>
    <xf numFmtId="0" fontId="8" fillId="2" borderId="17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2" xfId="0" applyBorder="1"/>
    <xf numFmtId="2" fontId="9" fillId="2" borderId="0" xfId="0" applyNumberFormat="1" applyFont="1" applyFill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2" xfId="0" applyFill="1" applyBorder="1"/>
    <xf numFmtId="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0" fillId="2" borderId="2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4" fontId="0" fillId="36" borderId="2" xfId="0" applyNumberFormat="1" applyFill="1" applyBorder="1"/>
    <xf numFmtId="4" fontId="0" fillId="36" borderId="2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vertical="center"/>
    </xf>
    <xf numFmtId="0" fontId="0" fillId="37" borderId="0" xfId="0" applyFill="1" applyAlignment="1">
      <alignment horizontal="center"/>
    </xf>
    <xf numFmtId="4" fontId="0" fillId="37" borderId="2" xfId="0" applyNumberFormat="1" applyFill="1" applyBorder="1" applyAlignment="1">
      <alignment horizontal="center"/>
    </xf>
    <xf numFmtId="0" fontId="0" fillId="37" borderId="0" xfId="0" applyFill="1"/>
    <xf numFmtId="0" fontId="0" fillId="37" borderId="2" xfId="0" applyFont="1" applyFill="1" applyBorder="1" applyAlignment="1">
      <alignment horizontal="center" vertical="center" wrapText="1"/>
    </xf>
    <xf numFmtId="2" fontId="0" fillId="37" borderId="2" xfId="0" applyNumberForma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3" fontId="0" fillId="36" borderId="2" xfId="0" applyNumberFormat="1" applyFont="1" applyFill="1" applyBorder="1"/>
    <xf numFmtId="4" fontId="0" fillId="2" borderId="4" xfId="0" applyNumberFormat="1" applyFill="1" applyBorder="1" applyAlignment="1">
      <alignment horizontal="center" vertical="center"/>
    </xf>
    <xf numFmtId="0" fontId="8" fillId="38" borderId="6" xfId="0" applyFont="1" applyFill="1" applyBorder="1" applyAlignment="1">
      <alignment horizontal="left" vertical="center"/>
    </xf>
    <xf numFmtId="0" fontId="0" fillId="38" borderId="2" xfId="0" applyFill="1" applyBorder="1"/>
    <xf numFmtId="0" fontId="45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4" fontId="6" fillId="2" borderId="2" xfId="0" applyNumberFormat="1" applyFont="1" applyFill="1" applyBorder="1"/>
    <xf numFmtId="2" fontId="44" fillId="3" borderId="19" xfId="83" applyNumberFormat="1" applyFont="1" applyFill="1" applyBorder="1" applyAlignment="1">
      <alignment shrinkToFit="1"/>
    </xf>
    <xf numFmtId="2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7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7" borderId="2" xfId="0" applyFon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</cellXfs>
  <cellStyles count="84">
    <cellStyle name="20% — акцент1" xfId="60" builtinId="30" customBuiltin="1"/>
    <cellStyle name="20% — акцент1 2" xfId="3" xr:uid="{00000000-0005-0000-0000-000001000000}"/>
    <cellStyle name="20% — акцент2" xfId="64" builtinId="34" customBuiltin="1"/>
    <cellStyle name="20% — акцент2 2" xfId="4" xr:uid="{00000000-0005-0000-0000-000003000000}"/>
    <cellStyle name="20% — акцент3" xfId="68" builtinId="38" customBuiltin="1"/>
    <cellStyle name="20% — акцент3 2" xfId="5" xr:uid="{00000000-0005-0000-0000-000005000000}"/>
    <cellStyle name="20% — акцент4" xfId="72" builtinId="42" customBuiltin="1"/>
    <cellStyle name="20% — акцент4 2" xfId="6" xr:uid="{00000000-0005-0000-0000-000007000000}"/>
    <cellStyle name="20% — акцент5" xfId="76" builtinId="46" customBuiltin="1"/>
    <cellStyle name="20% — акцент5 2" xfId="7" xr:uid="{00000000-0005-0000-0000-000009000000}"/>
    <cellStyle name="20% — акцент6" xfId="80" builtinId="50" customBuiltin="1"/>
    <cellStyle name="20% — акцент6 2" xfId="8" xr:uid="{00000000-0005-0000-0000-00000B000000}"/>
    <cellStyle name="40% — акцент1" xfId="61" builtinId="31" customBuiltin="1"/>
    <cellStyle name="40% — акцент1 2" xfId="9" xr:uid="{00000000-0005-0000-0000-00000D000000}"/>
    <cellStyle name="40% — акцент2" xfId="65" builtinId="35" customBuiltin="1"/>
    <cellStyle name="40% — акцент2 2" xfId="10" xr:uid="{00000000-0005-0000-0000-00000F000000}"/>
    <cellStyle name="40% — акцент3" xfId="69" builtinId="39" customBuiltin="1"/>
    <cellStyle name="40% — акцент3 2" xfId="11" xr:uid="{00000000-0005-0000-0000-000011000000}"/>
    <cellStyle name="40% — акцент4" xfId="73" builtinId="43" customBuiltin="1"/>
    <cellStyle name="40% — акцент4 2" xfId="12" xr:uid="{00000000-0005-0000-0000-000013000000}"/>
    <cellStyle name="40% — акцент5" xfId="77" builtinId="47" customBuiltin="1"/>
    <cellStyle name="40% — акцент5 2" xfId="13" xr:uid="{00000000-0005-0000-0000-000015000000}"/>
    <cellStyle name="40% — акцент6" xfId="81" builtinId="51" customBuiltin="1"/>
    <cellStyle name="40% — акцент6 2" xfId="14" xr:uid="{00000000-0005-0000-0000-000017000000}"/>
    <cellStyle name="60% — акцент1" xfId="62" builtinId="32" customBuiltin="1"/>
    <cellStyle name="60% — акцент1 2" xfId="15" xr:uid="{00000000-0005-0000-0000-000019000000}"/>
    <cellStyle name="60% — акцент2" xfId="66" builtinId="36" customBuiltin="1"/>
    <cellStyle name="60% — акцент2 2" xfId="16" xr:uid="{00000000-0005-0000-0000-00001B000000}"/>
    <cellStyle name="60% — акцент3" xfId="70" builtinId="40" customBuiltin="1"/>
    <cellStyle name="60% — акцент3 2" xfId="17" xr:uid="{00000000-0005-0000-0000-00001D000000}"/>
    <cellStyle name="60% — акцент4" xfId="74" builtinId="44" customBuiltin="1"/>
    <cellStyle name="60% — акцент4 2" xfId="18" xr:uid="{00000000-0005-0000-0000-00001F000000}"/>
    <cellStyle name="60% — акцент5" xfId="78" builtinId="48" customBuiltin="1"/>
    <cellStyle name="60% — акцент5 2" xfId="19" xr:uid="{00000000-0005-0000-0000-000021000000}"/>
    <cellStyle name="60% — акцент6" xfId="82" builtinId="52" customBuiltin="1"/>
    <cellStyle name="60% — акцент6 2" xfId="20" xr:uid="{00000000-0005-0000-0000-000023000000}"/>
    <cellStyle name="Акцент1" xfId="59" builtinId="29" customBuiltin="1"/>
    <cellStyle name="Акцент1 2" xfId="21" xr:uid="{00000000-0005-0000-0000-000025000000}"/>
    <cellStyle name="Акцент2" xfId="63" builtinId="33" customBuiltin="1"/>
    <cellStyle name="Акцент2 2" xfId="22" xr:uid="{00000000-0005-0000-0000-000027000000}"/>
    <cellStyle name="Акцент3" xfId="67" builtinId="37" customBuiltin="1"/>
    <cellStyle name="Акцент3 2" xfId="23" xr:uid="{00000000-0005-0000-0000-000029000000}"/>
    <cellStyle name="Акцент4" xfId="71" builtinId="41" customBuiltin="1"/>
    <cellStyle name="Акцент4 2" xfId="24" xr:uid="{00000000-0005-0000-0000-00002B000000}"/>
    <cellStyle name="Акцент5" xfId="75" builtinId="45" customBuiltin="1"/>
    <cellStyle name="Акцент5 2" xfId="25" xr:uid="{00000000-0005-0000-0000-00002D000000}"/>
    <cellStyle name="Акцент6" xfId="79" builtinId="49" customBuiltin="1"/>
    <cellStyle name="Акцент6 2" xfId="26" xr:uid="{00000000-0005-0000-0000-00002F000000}"/>
    <cellStyle name="Ввод " xfId="50" builtinId="20" customBuiltin="1"/>
    <cellStyle name="Ввод  2" xfId="27" xr:uid="{00000000-0005-0000-0000-000031000000}"/>
    <cellStyle name="Вывод" xfId="51" builtinId="21" customBuiltin="1"/>
    <cellStyle name="Вывод 2" xfId="28" xr:uid="{00000000-0005-0000-0000-000033000000}"/>
    <cellStyle name="Вычисление" xfId="52" builtinId="22" customBuiltin="1"/>
    <cellStyle name="Вычисление 2" xfId="29" xr:uid="{00000000-0005-0000-0000-000035000000}"/>
    <cellStyle name="Заголовок 1" xfId="43" builtinId="16" customBuiltin="1"/>
    <cellStyle name="Заголовок 1 2" xfId="30" xr:uid="{00000000-0005-0000-0000-000037000000}"/>
    <cellStyle name="Заголовок 2" xfId="44" builtinId="17" customBuiltin="1"/>
    <cellStyle name="Заголовок 2 2" xfId="31" xr:uid="{00000000-0005-0000-0000-000039000000}"/>
    <cellStyle name="Заголовок 3" xfId="45" builtinId="18" customBuiltin="1"/>
    <cellStyle name="Заголовок 3 2" xfId="32" xr:uid="{00000000-0005-0000-0000-00003B000000}"/>
    <cellStyle name="Заголовок 4" xfId="46" builtinId="19" customBuiltin="1"/>
    <cellStyle name="Заголовок 4 2" xfId="33" xr:uid="{00000000-0005-0000-0000-00003D000000}"/>
    <cellStyle name="Итог" xfId="58" builtinId="25" customBuiltin="1"/>
    <cellStyle name="Итог 2" xfId="34" xr:uid="{00000000-0005-0000-0000-00003F000000}"/>
    <cellStyle name="Контрольная ячейка" xfId="54" builtinId="23" customBuiltin="1"/>
    <cellStyle name="Контрольная ячейка 2" xfId="35" xr:uid="{00000000-0005-0000-0000-000041000000}"/>
    <cellStyle name="Название" xfId="2" builtinId="15" customBuiltin="1"/>
    <cellStyle name="Нейтральный" xfId="49" builtinId="28" customBuiltin="1"/>
    <cellStyle name="Нейтральный 2" xfId="36" xr:uid="{00000000-0005-0000-0000-000044000000}"/>
    <cellStyle name="Обычный" xfId="0" builtinId="0"/>
    <cellStyle name="Обычный 2" xfId="1" xr:uid="{00000000-0005-0000-0000-000046000000}"/>
    <cellStyle name="Обычный_Шаблон" xfId="83" xr:uid="{00000000-0005-0000-0000-000047000000}"/>
    <cellStyle name="Плохой" xfId="48" builtinId="27" customBuiltin="1"/>
    <cellStyle name="Плохой 2" xfId="37" xr:uid="{00000000-0005-0000-0000-000049000000}"/>
    <cellStyle name="Пояснение" xfId="57" builtinId="53" customBuiltin="1"/>
    <cellStyle name="Пояснение 2" xfId="38" xr:uid="{00000000-0005-0000-0000-00004B000000}"/>
    <cellStyle name="Примечание" xfId="56" builtinId="10" customBuiltin="1"/>
    <cellStyle name="Примечание 2" xfId="39" xr:uid="{00000000-0005-0000-0000-00004D000000}"/>
    <cellStyle name="Связанная ячейка" xfId="53" builtinId="24" customBuiltin="1"/>
    <cellStyle name="Связанная ячейка 2" xfId="40" xr:uid="{00000000-0005-0000-0000-00004F000000}"/>
    <cellStyle name="Текст предупреждения" xfId="55" builtinId="11" customBuiltin="1"/>
    <cellStyle name="Текст предупреждения 2" xfId="41" xr:uid="{00000000-0005-0000-0000-000051000000}"/>
    <cellStyle name="Хороший" xfId="47" builtinId="26" customBuiltin="1"/>
    <cellStyle name="Хороший 2" xfId="42" xr:uid="{00000000-0005-0000-0000-00005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2"/>
  <sheetViews>
    <sheetView tabSelected="1" topLeftCell="B1" zoomScale="98" zoomScaleNormal="98" workbookViewId="0">
      <pane ySplit="2" topLeftCell="A3" activePane="bottomLeft" state="frozen"/>
      <selection activeCell="B1" sqref="B1"/>
      <selection pane="bottomLeft" activeCell="B230" sqref="B213:B230"/>
    </sheetView>
  </sheetViews>
  <sheetFormatPr defaultRowHeight="15.75" x14ac:dyDescent="0.25"/>
  <cols>
    <col min="1" max="1" width="0" style="8" hidden="1" customWidth="1"/>
    <col min="2" max="2" width="10.42578125" style="8" customWidth="1"/>
    <col min="3" max="3" width="46.5703125" style="9" customWidth="1"/>
    <col min="4" max="4" width="12.85546875" style="47" customWidth="1"/>
    <col min="5" max="5" width="14.5703125" style="10" customWidth="1"/>
    <col min="6" max="9" width="9.140625" style="8" customWidth="1"/>
    <col min="10" max="16384" width="9.140625" style="8"/>
  </cols>
  <sheetData>
    <row r="1" spans="1:6" s="10" customFormat="1" ht="38.25" customHeight="1" x14ac:dyDescent="0.25">
      <c r="B1" s="76" t="s">
        <v>266</v>
      </c>
      <c r="C1" s="76"/>
      <c r="D1" s="76"/>
      <c r="E1" s="76"/>
    </row>
    <row r="2" spans="1:6" ht="53.25" customHeight="1" x14ac:dyDescent="0.25">
      <c r="B2" s="75" t="s">
        <v>57</v>
      </c>
      <c r="C2" s="72" t="s">
        <v>0</v>
      </c>
      <c r="D2" s="73" t="s">
        <v>265</v>
      </c>
      <c r="E2" s="73" t="s">
        <v>264</v>
      </c>
    </row>
    <row r="3" spans="1:6" ht="15.75" customHeight="1" x14ac:dyDescent="0.25">
      <c r="A3" s="16"/>
      <c r="B3" s="59">
        <v>1</v>
      </c>
      <c r="C3" s="32" t="s">
        <v>146</v>
      </c>
      <c r="D3" s="60">
        <v>68.204999999999998</v>
      </c>
      <c r="E3" s="36"/>
    </row>
    <row r="4" spans="1:6" ht="15.75" customHeight="1" x14ac:dyDescent="0.25">
      <c r="A4" s="16"/>
      <c r="B4" s="59">
        <v>2</v>
      </c>
      <c r="C4" s="32" t="s">
        <v>147</v>
      </c>
      <c r="D4" s="60">
        <v>106.789402</v>
      </c>
      <c r="E4" s="36"/>
    </row>
    <row r="5" spans="1:6" ht="15.75" customHeight="1" x14ac:dyDescent="0.25">
      <c r="A5" s="16"/>
      <c r="B5" s="59">
        <v>3</v>
      </c>
      <c r="C5" s="32" t="s">
        <v>148</v>
      </c>
      <c r="D5" s="60">
        <v>68.752082999999999</v>
      </c>
      <c r="E5" s="36"/>
    </row>
    <row r="6" spans="1:6" ht="15.75" customHeight="1" x14ac:dyDescent="0.25">
      <c r="A6" s="16"/>
      <c r="B6" s="59">
        <v>4</v>
      </c>
      <c r="C6" s="32" t="s">
        <v>149</v>
      </c>
      <c r="D6" s="60">
        <v>141.674117</v>
      </c>
      <c r="E6" s="36"/>
    </row>
    <row r="7" spans="1:6" ht="15.75" customHeight="1" x14ac:dyDescent="0.25">
      <c r="A7" s="16"/>
      <c r="B7" s="59">
        <v>5</v>
      </c>
      <c r="C7" s="32" t="s">
        <v>150</v>
      </c>
      <c r="D7" s="60">
        <v>106.06756299999999</v>
      </c>
      <c r="E7" s="36"/>
    </row>
    <row r="8" spans="1:6" ht="15.75" customHeight="1" x14ac:dyDescent="0.25">
      <c r="A8" s="16"/>
      <c r="B8" s="59">
        <v>6</v>
      </c>
      <c r="C8" s="32" t="s">
        <v>151</v>
      </c>
      <c r="D8" s="60">
        <v>100.67668700000002</v>
      </c>
      <c r="E8" s="36"/>
    </row>
    <row r="9" spans="1:6" ht="15.75" customHeight="1" x14ac:dyDescent="0.25">
      <c r="A9" s="16"/>
      <c r="B9" s="59">
        <v>7</v>
      </c>
      <c r="C9" s="32" t="s">
        <v>152</v>
      </c>
      <c r="D9" s="60">
        <v>107.00901999999998</v>
      </c>
      <c r="E9" s="36"/>
    </row>
    <row r="10" spans="1:6" ht="15.75" customHeight="1" x14ac:dyDescent="0.25">
      <c r="A10" s="16"/>
      <c r="B10" s="59">
        <v>8</v>
      </c>
      <c r="C10" s="32" t="s">
        <v>153</v>
      </c>
      <c r="D10" s="60">
        <v>100.76873027808574</v>
      </c>
      <c r="E10" s="36"/>
      <c r="F10" s="40"/>
    </row>
    <row r="11" spans="1:6" ht="15.75" customHeight="1" x14ac:dyDescent="0.25">
      <c r="A11" s="16"/>
      <c r="B11" s="59">
        <v>9</v>
      </c>
      <c r="C11" s="32" t="s">
        <v>154</v>
      </c>
      <c r="D11" s="60">
        <v>62.671269721914236</v>
      </c>
      <c r="E11" s="36"/>
      <c r="F11" s="40"/>
    </row>
    <row r="12" spans="1:6" ht="15.75" customHeight="1" x14ac:dyDescent="0.25">
      <c r="A12" s="16"/>
      <c r="B12" s="59">
        <v>10</v>
      </c>
      <c r="C12" s="32" t="s">
        <v>155</v>
      </c>
      <c r="D12" s="60">
        <v>89.628034103962975</v>
      </c>
      <c r="E12" s="36"/>
    </row>
    <row r="13" spans="1:6" ht="15.75" customHeight="1" x14ac:dyDescent="0.25">
      <c r="A13" s="16"/>
      <c r="B13" s="59">
        <v>11</v>
      </c>
      <c r="C13" s="32" t="s">
        <v>156</v>
      </c>
      <c r="D13" s="60">
        <v>43.631965896037009</v>
      </c>
      <c r="E13" s="36"/>
    </row>
    <row r="14" spans="1:6" ht="15.75" customHeight="1" x14ac:dyDescent="0.25">
      <c r="A14" s="16"/>
      <c r="B14" s="59">
        <v>12</v>
      </c>
      <c r="C14" s="32" t="s">
        <v>157</v>
      </c>
      <c r="D14" s="60">
        <v>79.370463999999984</v>
      </c>
      <c r="E14" s="36"/>
    </row>
    <row r="15" spans="1:6" ht="15.75" customHeight="1" x14ac:dyDescent="0.25">
      <c r="A15" s="16"/>
      <c r="B15" s="59">
        <v>13</v>
      </c>
      <c r="C15" s="17" t="s">
        <v>158</v>
      </c>
      <c r="D15" s="60">
        <v>68.767488</v>
      </c>
      <c r="E15" s="36"/>
    </row>
    <row r="16" spans="1:6" ht="15" customHeight="1" x14ac:dyDescent="0.25">
      <c r="A16" s="11"/>
      <c r="B16" s="59">
        <v>14</v>
      </c>
      <c r="C16" s="17" t="s">
        <v>123</v>
      </c>
      <c r="D16" s="60">
        <v>128.84</v>
      </c>
      <c r="E16" s="36">
        <v>391.09999999999991</v>
      </c>
    </row>
    <row r="17" spans="1:11" s="13" customFormat="1" ht="15" customHeight="1" x14ac:dyDescent="0.25">
      <c r="A17" s="12"/>
      <c r="B17" s="59">
        <v>15</v>
      </c>
      <c r="C17" s="17" t="s">
        <v>126</v>
      </c>
      <c r="D17" s="60">
        <v>137.26</v>
      </c>
      <c r="E17" s="36">
        <v>762.96578600000021</v>
      </c>
    </row>
    <row r="18" spans="1:11" s="13" customFormat="1" ht="15" customHeight="1" x14ac:dyDescent="0.25">
      <c r="A18" s="12"/>
      <c r="B18" s="59">
        <v>16</v>
      </c>
      <c r="C18" s="18" t="s">
        <v>127</v>
      </c>
      <c r="D18" s="60">
        <v>119.88</v>
      </c>
      <c r="E18" s="36">
        <v>428.08600425720203</v>
      </c>
    </row>
    <row r="19" spans="1:11" s="10" customFormat="1" ht="15" customHeight="1" x14ac:dyDescent="0.25">
      <c r="A19" s="11">
        <v>1</v>
      </c>
      <c r="B19" s="59">
        <v>17</v>
      </c>
      <c r="C19" s="17" t="s">
        <v>1</v>
      </c>
      <c r="D19" s="60">
        <v>129.14159770612599</v>
      </c>
      <c r="E19" s="36">
        <v>466.43852739726032</v>
      </c>
      <c r="F19" s="35"/>
    </row>
    <row r="20" spans="1:11" s="10" customFormat="1" ht="15" customHeight="1" x14ac:dyDescent="0.25">
      <c r="A20" s="11"/>
      <c r="B20" s="59">
        <v>18</v>
      </c>
      <c r="C20" s="19" t="s">
        <v>142</v>
      </c>
      <c r="D20" s="60">
        <v>321.08939999999996</v>
      </c>
      <c r="E20" s="36">
        <v>1693.8100000000002</v>
      </c>
      <c r="F20" s="35"/>
    </row>
    <row r="21" spans="1:11" s="14" customFormat="1" ht="15" customHeight="1" x14ac:dyDescent="0.25">
      <c r="A21" s="12"/>
      <c r="B21" s="59">
        <v>19</v>
      </c>
      <c r="C21" s="17" t="s">
        <v>131</v>
      </c>
      <c r="D21" s="60">
        <v>108.76047034018998</v>
      </c>
      <c r="E21" s="36">
        <v>470.84</v>
      </c>
    </row>
    <row r="22" spans="1:11" s="14" customFormat="1" ht="15" customHeight="1" x14ac:dyDescent="0.25">
      <c r="A22" s="12"/>
      <c r="B22" s="59">
        <v>20</v>
      </c>
      <c r="C22" s="17" t="s">
        <v>132</v>
      </c>
      <c r="D22" s="60">
        <v>51.859529659810036</v>
      </c>
      <c r="E22" s="36">
        <v>195.77</v>
      </c>
      <c r="F22" s="41"/>
    </row>
    <row r="23" spans="1:11" s="14" customFormat="1" ht="15" customHeight="1" x14ac:dyDescent="0.25">
      <c r="A23" s="12"/>
      <c r="B23" s="59">
        <v>21</v>
      </c>
      <c r="C23" s="17" t="s">
        <v>159</v>
      </c>
      <c r="D23" s="60">
        <v>138.27900000000002</v>
      </c>
      <c r="E23" s="36"/>
    </row>
    <row r="24" spans="1:11" s="10" customFormat="1" ht="16.5" customHeight="1" x14ac:dyDescent="0.25">
      <c r="A24" s="11">
        <v>1</v>
      </c>
      <c r="B24" s="59">
        <v>22</v>
      </c>
      <c r="C24" s="17" t="s">
        <v>2</v>
      </c>
      <c r="D24" s="60">
        <v>115.94999999999999</v>
      </c>
      <c r="E24" s="36">
        <v>334.07</v>
      </c>
    </row>
    <row r="25" spans="1:11" s="10" customFormat="1" ht="15" customHeight="1" x14ac:dyDescent="0.25">
      <c r="A25" s="11">
        <v>1</v>
      </c>
      <c r="B25" s="59">
        <v>23</v>
      </c>
      <c r="C25" s="17" t="s">
        <v>3</v>
      </c>
      <c r="D25" s="60">
        <v>78.75</v>
      </c>
      <c r="E25" s="36">
        <v>224.19999999999996</v>
      </c>
      <c r="G25" s="35"/>
    </row>
    <row r="26" spans="1:11" s="10" customFormat="1" ht="15" customHeight="1" x14ac:dyDescent="0.25">
      <c r="A26" s="11">
        <v>1</v>
      </c>
      <c r="B26" s="59">
        <v>24</v>
      </c>
      <c r="C26" s="17" t="s">
        <v>4</v>
      </c>
      <c r="D26" s="60">
        <v>36.016256332951748</v>
      </c>
      <c r="E26" s="36">
        <v>135.69</v>
      </c>
      <c r="G26" s="35"/>
    </row>
    <row r="27" spans="1:11" s="10" customFormat="1" ht="15" customHeight="1" x14ac:dyDescent="0.25">
      <c r="A27" s="11"/>
      <c r="B27" s="59">
        <v>25</v>
      </c>
      <c r="C27" s="17" t="s">
        <v>5</v>
      </c>
      <c r="D27" s="60">
        <v>43.743743667048243</v>
      </c>
      <c r="E27" s="36">
        <v>164.08</v>
      </c>
    </row>
    <row r="28" spans="1:11" s="10" customFormat="1" ht="15" customHeight="1" x14ac:dyDescent="0.25">
      <c r="A28" s="11">
        <v>1</v>
      </c>
      <c r="B28" s="59">
        <v>26</v>
      </c>
      <c r="C28" s="17" t="s">
        <v>6</v>
      </c>
      <c r="D28" s="60">
        <v>85.323799999999991</v>
      </c>
      <c r="E28" s="36">
        <v>249.65</v>
      </c>
    </row>
    <row r="29" spans="1:11" s="10" customFormat="1" ht="15" customHeight="1" x14ac:dyDescent="0.25">
      <c r="A29" s="11">
        <v>1</v>
      </c>
      <c r="B29" s="59">
        <v>27</v>
      </c>
      <c r="C29" s="17" t="s">
        <v>7</v>
      </c>
      <c r="D29" s="60">
        <v>99.39718931872649</v>
      </c>
      <c r="E29" s="36">
        <v>349.87284188034187</v>
      </c>
      <c r="G29" s="35"/>
    </row>
    <row r="30" spans="1:11" s="10" customFormat="1" ht="15" customHeight="1" x14ac:dyDescent="0.25">
      <c r="A30" s="11"/>
      <c r="B30" s="59">
        <v>28</v>
      </c>
      <c r="C30" s="17" t="s">
        <v>59</v>
      </c>
      <c r="D30" s="60">
        <v>31.464351249572069</v>
      </c>
      <c r="E30" s="36">
        <v>127.87230769230769</v>
      </c>
    </row>
    <row r="31" spans="1:11" s="10" customFormat="1" ht="15" customHeight="1" x14ac:dyDescent="0.25">
      <c r="A31" s="11"/>
      <c r="B31" s="59">
        <v>29</v>
      </c>
      <c r="C31" s="17" t="s">
        <v>60</v>
      </c>
      <c r="D31" s="60">
        <v>29.237624101335161</v>
      </c>
      <c r="E31" s="37">
        <v>117.21628205128204</v>
      </c>
      <c r="K31" s="35"/>
    </row>
    <row r="32" spans="1:11" s="10" customFormat="1" ht="15" customHeight="1" x14ac:dyDescent="0.25">
      <c r="A32" s="11"/>
      <c r="B32" s="59">
        <v>30</v>
      </c>
      <c r="C32" s="17" t="s">
        <v>8</v>
      </c>
      <c r="D32" s="60">
        <v>74.740835330366323</v>
      </c>
      <c r="E32" s="36">
        <v>236.20856837606837</v>
      </c>
    </row>
    <row r="33" spans="1:5" s="10" customFormat="1" ht="15" customHeight="1" x14ac:dyDescent="0.25">
      <c r="A33" s="11">
        <v>1</v>
      </c>
      <c r="B33" s="59">
        <v>31</v>
      </c>
      <c r="C33" s="17" t="s">
        <v>61</v>
      </c>
      <c r="D33" s="60">
        <v>59.92587619135746</v>
      </c>
      <c r="E33" s="36">
        <v>261.1644966442953</v>
      </c>
    </row>
    <row r="34" spans="1:5" s="10" customFormat="1" ht="15" customHeight="1" x14ac:dyDescent="0.25">
      <c r="A34" s="11"/>
      <c r="B34" s="59">
        <v>32</v>
      </c>
      <c r="C34" s="17" t="s">
        <v>62</v>
      </c>
      <c r="D34" s="60">
        <v>12.664123808642547</v>
      </c>
      <c r="E34" s="36">
        <v>55.205503355704707</v>
      </c>
    </row>
    <row r="35" spans="1:5" s="10" customFormat="1" ht="15" customHeight="1" x14ac:dyDescent="0.25">
      <c r="A35" s="11">
        <v>1</v>
      </c>
      <c r="B35" s="59">
        <v>33</v>
      </c>
      <c r="C35" s="17" t="s">
        <v>63</v>
      </c>
      <c r="D35" s="60">
        <v>152.57988039007921</v>
      </c>
      <c r="E35" s="36">
        <v>674.41621368539347</v>
      </c>
    </row>
    <row r="36" spans="1:5" s="10" customFormat="1" ht="15" customHeight="1" x14ac:dyDescent="0.25">
      <c r="A36" s="11"/>
      <c r="B36" s="59">
        <v>34</v>
      </c>
      <c r="C36" s="17" t="s">
        <v>64</v>
      </c>
      <c r="D36" s="60">
        <v>43.2601196099208</v>
      </c>
      <c r="E36" s="36">
        <v>147.81725231460678</v>
      </c>
    </row>
    <row r="37" spans="1:5" s="10" customFormat="1" ht="15" customHeight="1" x14ac:dyDescent="0.25">
      <c r="A37" s="11"/>
      <c r="B37" s="59">
        <v>35</v>
      </c>
      <c r="C37" s="17" t="s">
        <v>160</v>
      </c>
      <c r="D37" s="60">
        <v>63.90544280000001</v>
      </c>
      <c r="E37" s="36"/>
    </row>
    <row r="38" spans="1:5" s="10" customFormat="1" ht="15" customHeight="1" x14ac:dyDescent="0.25">
      <c r="A38" s="11">
        <v>1</v>
      </c>
      <c r="B38" s="59">
        <v>36</v>
      </c>
      <c r="C38" s="17" t="s">
        <v>9</v>
      </c>
      <c r="D38" s="60">
        <v>129.42079999999999</v>
      </c>
      <c r="E38" s="36">
        <v>496.57000000000005</v>
      </c>
    </row>
    <row r="39" spans="1:5" s="10" customFormat="1" ht="15" customHeight="1" x14ac:dyDescent="0.25">
      <c r="A39" s="11"/>
      <c r="B39" s="59">
        <v>37</v>
      </c>
      <c r="C39" s="17" t="s">
        <v>251</v>
      </c>
      <c r="D39" s="60">
        <v>54.617354508371797</v>
      </c>
      <c r="E39" s="36"/>
    </row>
    <row r="40" spans="1:5" s="10" customFormat="1" ht="15" customHeight="1" x14ac:dyDescent="0.25">
      <c r="A40" s="11"/>
      <c r="B40" s="59">
        <v>38</v>
      </c>
      <c r="C40" s="17" t="s">
        <v>161</v>
      </c>
      <c r="D40" s="60">
        <v>82.669999999999987</v>
      </c>
      <c r="E40" s="36"/>
    </row>
    <row r="41" spans="1:5" s="10" customFormat="1" ht="15" customHeight="1" x14ac:dyDescent="0.25">
      <c r="A41" s="11"/>
      <c r="B41" s="59">
        <v>39</v>
      </c>
      <c r="C41" s="17" t="s">
        <v>162</v>
      </c>
      <c r="D41" s="60">
        <v>105.43999999999998</v>
      </c>
      <c r="E41" s="36"/>
    </row>
    <row r="42" spans="1:5" s="10" customFormat="1" ht="15" customHeight="1" x14ac:dyDescent="0.25">
      <c r="A42" s="11">
        <v>1</v>
      </c>
      <c r="B42" s="59">
        <v>40</v>
      </c>
      <c r="C42" s="17" t="s">
        <v>10</v>
      </c>
      <c r="D42" s="60">
        <v>93.907951999999995</v>
      </c>
      <c r="E42" s="36">
        <v>368.3</v>
      </c>
    </row>
    <row r="43" spans="1:5" s="10" customFormat="1" ht="15" customHeight="1" x14ac:dyDescent="0.25">
      <c r="A43" s="11"/>
      <c r="B43" s="59">
        <v>41</v>
      </c>
      <c r="C43" s="17" t="s">
        <v>99</v>
      </c>
      <c r="D43" s="60">
        <v>92.674879263850116</v>
      </c>
      <c r="E43" s="36"/>
    </row>
    <row r="44" spans="1:5" s="10" customFormat="1" ht="15" customHeight="1" x14ac:dyDescent="0.25">
      <c r="A44" s="11"/>
      <c r="B44" s="59">
        <v>42</v>
      </c>
      <c r="C44" s="17" t="s">
        <v>129</v>
      </c>
      <c r="D44" s="60">
        <v>82.755120736149905</v>
      </c>
      <c r="E44" s="36">
        <v>325.44</v>
      </c>
    </row>
    <row r="45" spans="1:5" s="10" customFormat="1" ht="15" customHeight="1" x14ac:dyDescent="0.25">
      <c r="A45" s="11"/>
      <c r="B45" s="59">
        <v>43</v>
      </c>
      <c r="C45" s="17" t="s">
        <v>83</v>
      </c>
      <c r="D45" s="60">
        <v>64.005285197731411</v>
      </c>
      <c r="E45" s="36">
        <v>193.44475095785441</v>
      </c>
    </row>
    <row r="46" spans="1:5" s="10" customFormat="1" ht="15" customHeight="1" x14ac:dyDescent="0.25">
      <c r="A46" s="11"/>
      <c r="B46" s="59">
        <v>44</v>
      </c>
      <c r="C46" s="17" t="s">
        <v>84</v>
      </c>
      <c r="D46" s="60">
        <v>66.244714802268589</v>
      </c>
      <c r="E46" s="36">
        <v>213.72524904214561</v>
      </c>
    </row>
    <row r="47" spans="1:5" s="10" customFormat="1" ht="15" customHeight="1" x14ac:dyDescent="0.25">
      <c r="A47" s="11"/>
      <c r="B47" s="59">
        <v>45</v>
      </c>
      <c r="C47" s="17" t="s">
        <v>163</v>
      </c>
      <c r="D47" s="60">
        <v>66.77600000000001</v>
      </c>
      <c r="E47" s="36"/>
    </row>
    <row r="48" spans="1:5" s="10" customFormat="1" ht="15" customHeight="1" x14ac:dyDescent="0.25">
      <c r="A48" s="11"/>
      <c r="B48" s="59">
        <v>46</v>
      </c>
      <c r="C48" s="17" t="s">
        <v>164</v>
      </c>
      <c r="D48" s="60">
        <v>58.440455199999995</v>
      </c>
      <c r="E48" s="36"/>
    </row>
    <row r="49" spans="1:5" s="10" customFormat="1" ht="15" customHeight="1" x14ac:dyDescent="0.25">
      <c r="A49" s="11"/>
      <c r="B49" s="59">
        <v>47</v>
      </c>
      <c r="C49" s="17" t="s">
        <v>100</v>
      </c>
      <c r="D49" s="60">
        <v>66.946635214030564</v>
      </c>
      <c r="E49" s="36"/>
    </row>
    <row r="50" spans="1:5" s="10" customFormat="1" ht="15" customHeight="1" x14ac:dyDescent="0.25">
      <c r="A50" s="11"/>
      <c r="B50" s="59">
        <v>48</v>
      </c>
      <c r="C50" s="17" t="s">
        <v>128</v>
      </c>
      <c r="D50" s="60">
        <v>17.263364785969426</v>
      </c>
      <c r="E50" s="36">
        <v>60.02</v>
      </c>
    </row>
    <row r="51" spans="1:5" s="10" customFormat="1" ht="15" customHeight="1" x14ac:dyDescent="0.25">
      <c r="A51" s="11"/>
      <c r="B51" s="59">
        <v>49</v>
      </c>
      <c r="C51" s="17" t="s">
        <v>101</v>
      </c>
      <c r="D51" s="60">
        <v>165.95319552814723</v>
      </c>
      <c r="E51" s="36"/>
    </row>
    <row r="52" spans="1:5" s="10" customFormat="1" ht="15" customHeight="1" x14ac:dyDescent="0.25">
      <c r="A52" s="11"/>
      <c r="B52" s="59">
        <v>50</v>
      </c>
      <c r="C52" s="17" t="s">
        <v>102</v>
      </c>
      <c r="D52" s="60">
        <v>33.356804471852776</v>
      </c>
      <c r="E52" s="36"/>
    </row>
    <row r="53" spans="1:5" s="10" customFormat="1" ht="15" customHeight="1" x14ac:dyDescent="0.25">
      <c r="A53" s="11">
        <v>1</v>
      </c>
      <c r="B53" s="59">
        <v>51</v>
      </c>
      <c r="C53" s="17" t="s">
        <v>73</v>
      </c>
      <c r="D53" s="60">
        <v>16.003376832369433</v>
      </c>
      <c r="E53" s="36">
        <v>33.508484848484848</v>
      </c>
    </row>
    <row r="54" spans="1:5" s="10" customFormat="1" ht="15" customHeight="1" x14ac:dyDescent="0.25">
      <c r="A54" s="11"/>
      <c r="B54" s="59">
        <v>52</v>
      </c>
      <c r="C54" s="17" t="s">
        <v>72</v>
      </c>
      <c r="D54" s="60">
        <v>30.686623167630565</v>
      </c>
      <c r="E54" s="36">
        <v>51.551515151515154</v>
      </c>
    </row>
    <row r="55" spans="1:5" s="10" customFormat="1" ht="15" customHeight="1" x14ac:dyDescent="0.25">
      <c r="A55" s="11">
        <v>1</v>
      </c>
      <c r="B55" s="59">
        <v>53</v>
      </c>
      <c r="C55" s="17" t="s">
        <v>11</v>
      </c>
      <c r="D55" s="60">
        <v>126.69</v>
      </c>
      <c r="E55" s="36">
        <v>382.76</v>
      </c>
    </row>
    <row r="56" spans="1:5" s="10" customFormat="1" ht="15" customHeight="1" x14ac:dyDescent="0.25">
      <c r="A56" s="11"/>
      <c r="B56" s="59">
        <v>54</v>
      </c>
      <c r="C56" s="17" t="s">
        <v>165</v>
      </c>
      <c r="D56" s="60">
        <v>60.222266299999994</v>
      </c>
      <c r="E56" s="36"/>
    </row>
    <row r="57" spans="1:5" s="10" customFormat="1" ht="15" customHeight="1" x14ac:dyDescent="0.25">
      <c r="A57" s="11">
        <v>2</v>
      </c>
      <c r="B57" s="59">
        <v>55</v>
      </c>
      <c r="C57" s="17" t="s">
        <v>12</v>
      </c>
      <c r="D57" s="60">
        <v>156.10999999999999</v>
      </c>
      <c r="E57" s="36">
        <v>536.58000000000004</v>
      </c>
    </row>
    <row r="58" spans="1:5" s="10" customFormat="1" ht="15" customHeight="1" x14ac:dyDescent="0.25">
      <c r="A58" s="11"/>
      <c r="B58" s="59">
        <v>56</v>
      </c>
      <c r="C58" s="17" t="s">
        <v>85</v>
      </c>
      <c r="D58" s="60">
        <v>113.05925058472616</v>
      </c>
      <c r="E58" s="36"/>
    </row>
    <row r="59" spans="1:5" s="10" customFormat="1" ht="15" customHeight="1" x14ac:dyDescent="0.25">
      <c r="A59" s="11"/>
      <c r="B59" s="59">
        <v>57</v>
      </c>
      <c r="C59" s="17" t="s">
        <v>130</v>
      </c>
      <c r="D59" s="60">
        <v>14.430749415273844</v>
      </c>
      <c r="E59" s="36">
        <v>107.4</v>
      </c>
    </row>
    <row r="60" spans="1:5" s="10" customFormat="1" ht="15" customHeight="1" x14ac:dyDescent="0.25">
      <c r="A60" s="11"/>
      <c r="B60" s="59">
        <v>58</v>
      </c>
      <c r="C60" s="17" t="s">
        <v>252</v>
      </c>
      <c r="D60" s="60">
        <v>38.748859276493086</v>
      </c>
      <c r="E60" s="36">
        <v>100.68165727896995</v>
      </c>
    </row>
    <row r="61" spans="1:5" s="10" customFormat="1" ht="15" customHeight="1" x14ac:dyDescent="0.25">
      <c r="A61" s="11"/>
      <c r="B61" s="59">
        <v>59</v>
      </c>
      <c r="C61" s="17" t="s">
        <v>253</v>
      </c>
      <c r="D61" s="60">
        <v>130.06114072350692</v>
      </c>
      <c r="E61" s="36">
        <v>378.06989672103003</v>
      </c>
    </row>
    <row r="62" spans="1:5" s="10" customFormat="1" ht="15" customHeight="1" x14ac:dyDescent="0.25">
      <c r="A62" s="11"/>
      <c r="B62" s="59">
        <v>60</v>
      </c>
      <c r="C62" s="17" t="s">
        <v>254</v>
      </c>
      <c r="D62" s="60">
        <v>283.61485595133536</v>
      </c>
      <c r="E62" s="36">
        <v>832.89988573207415</v>
      </c>
    </row>
    <row r="63" spans="1:5" s="10" customFormat="1" ht="15" customHeight="1" x14ac:dyDescent="0.25">
      <c r="A63" s="11"/>
      <c r="B63" s="59">
        <v>61</v>
      </c>
      <c r="C63" s="17" t="s">
        <v>255</v>
      </c>
      <c r="D63" s="60">
        <v>6.1751440486646834</v>
      </c>
      <c r="E63" s="36">
        <v>29.16060869083848</v>
      </c>
    </row>
    <row r="64" spans="1:5" s="10" customFormat="1" ht="15" customHeight="1" x14ac:dyDescent="0.25">
      <c r="A64" s="11">
        <v>1</v>
      </c>
      <c r="B64" s="59">
        <v>62</v>
      </c>
      <c r="C64" s="17" t="s">
        <v>13</v>
      </c>
      <c r="D64" s="60">
        <v>240.59</v>
      </c>
      <c r="E64" s="36">
        <v>574.19000000000005</v>
      </c>
    </row>
    <row r="65" spans="1:5" s="10" customFormat="1" ht="15" customHeight="1" x14ac:dyDescent="0.25">
      <c r="A65" s="11"/>
      <c r="B65" s="59">
        <v>63</v>
      </c>
      <c r="C65" s="17" t="s">
        <v>166</v>
      </c>
      <c r="D65" s="60">
        <v>145.44839999999999</v>
      </c>
      <c r="E65" s="38"/>
    </row>
    <row r="66" spans="1:5" s="10" customFormat="1" ht="15" customHeight="1" x14ac:dyDescent="0.25">
      <c r="A66" s="11"/>
      <c r="B66" s="59">
        <v>64</v>
      </c>
      <c r="C66" s="17" t="s">
        <v>103</v>
      </c>
      <c r="D66" s="60">
        <v>133.73901694125587</v>
      </c>
      <c r="E66" s="36"/>
    </row>
    <row r="67" spans="1:5" s="10" customFormat="1" ht="15" customHeight="1" x14ac:dyDescent="0.25">
      <c r="A67" s="11"/>
      <c r="B67" s="59">
        <v>65</v>
      </c>
      <c r="C67" s="17" t="s">
        <v>14</v>
      </c>
      <c r="D67" s="60">
        <v>12.530983058744148</v>
      </c>
      <c r="E67" s="36">
        <v>41.804912000000009</v>
      </c>
    </row>
    <row r="68" spans="1:5" s="10" customFormat="1" ht="15" customHeight="1" x14ac:dyDescent="0.25">
      <c r="A68" s="11"/>
      <c r="B68" s="59">
        <v>66</v>
      </c>
      <c r="C68" s="17" t="s">
        <v>167</v>
      </c>
      <c r="D68" s="60">
        <v>171.100154</v>
      </c>
      <c r="E68" s="36"/>
    </row>
    <row r="69" spans="1:5" s="10" customFormat="1" ht="15" customHeight="1" x14ac:dyDescent="0.25">
      <c r="A69" s="11"/>
      <c r="B69" s="59">
        <v>67</v>
      </c>
      <c r="C69" s="18" t="s">
        <v>168</v>
      </c>
      <c r="D69" s="60">
        <v>105.69525999999998</v>
      </c>
      <c r="E69" s="36"/>
    </row>
    <row r="70" spans="1:5" s="10" customFormat="1" ht="15" customHeight="1" x14ac:dyDescent="0.25">
      <c r="A70" s="11"/>
      <c r="B70" s="59">
        <v>68</v>
      </c>
      <c r="C70" s="17" t="s">
        <v>15</v>
      </c>
      <c r="D70" s="60">
        <v>92.091000000000008</v>
      </c>
      <c r="E70" s="36">
        <v>392.24999999999989</v>
      </c>
    </row>
    <row r="71" spans="1:5" s="10" customFormat="1" ht="15" customHeight="1" x14ac:dyDescent="0.25">
      <c r="A71" s="11"/>
      <c r="B71" s="59">
        <v>69</v>
      </c>
      <c r="C71" s="17" t="s">
        <v>169</v>
      </c>
      <c r="D71" s="60">
        <v>147.01536900000002</v>
      </c>
      <c r="E71" s="36"/>
    </row>
    <row r="72" spans="1:5" s="10" customFormat="1" ht="15" customHeight="1" x14ac:dyDescent="0.25">
      <c r="A72" s="11"/>
      <c r="B72" s="59">
        <v>70</v>
      </c>
      <c r="C72" s="17" t="s">
        <v>170</v>
      </c>
      <c r="D72" s="60">
        <v>132.833</v>
      </c>
      <c r="E72" s="36"/>
    </row>
    <row r="73" spans="1:5" s="10" customFormat="1" ht="15" customHeight="1" x14ac:dyDescent="0.25">
      <c r="A73" s="11"/>
      <c r="B73" s="59">
        <v>71</v>
      </c>
      <c r="C73" s="17" t="s">
        <v>171</v>
      </c>
      <c r="D73" s="60">
        <v>117.57107000000001</v>
      </c>
      <c r="E73" s="36"/>
    </row>
    <row r="74" spans="1:5" s="10" customFormat="1" ht="15" customHeight="1" x14ac:dyDescent="0.25">
      <c r="A74" s="11"/>
      <c r="B74" s="59">
        <v>72</v>
      </c>
      <c r="C74" s="17" t="s">
        <v>90</v>
      </c>
      <c r="D74" s="60">
        <v>72.586077043775333</v>
      </c>
      <c r="E74" s="36">
        <v>224.33608445297503</v>
      </c>
    </row>
    <row r="75" spans="1:5" s="10" customFormat="1" ht="15" customHeight="1" x14ac:dyDescent="0.25">
      <c r="A75" s="11"/>
      <c r="B75" s="59">
        <v>73</v>
      </c>
      <c r="C75" s="17" t="s">
        <v>91</v>
      </c>
      <c r="D75" s="60">
        <v>72.516325539380546</v>
      </c>
      <c r="E75" s="36">
        <v>208.07984644913626</v>
      </c>
    </row>
    <row r="76" spans="1:5" s="10" customFormat="1" ht="15" customHeight="1" x14ac:dyDescent="0.25">
      <c r="A76" s="11"/>
      <c r="B76" s="59">
        <v>74</v>
      </c>
      <c r="C76" s="17" t="s">
        <v>92</v>
      </c>
      <c r="D76" s="60">
        <v>16.850724454794012</v>
      </c>
      <c r="E76" s="36">
        <v>22.758733205374281</v>
      </c>
    </row>
    <row r="77" spans="1:5" s="10" customFormat="1" ht="15" customHeight="1" x14ac:dyDescent="0.25">
      <c r="A77" s="11"/>
      <c r="B77" s="59">
        <v>75</v>
      </c>
      <c r="C77" s="17" t="s">
        <v>93</v>
      </c>
      <c r="D77" s="60">
        <v>46.905821693849404</v>
      </c>
      <c r="E77" s="36">
        <v>84.532437619961598</v>
      </c>
    </row>
    <row r="78" spans="1:5" s="10" customFormat="1" ht="15" customHeight="1" x14ac:dyDescent="0.25">
      <c r="A78" s="11"/>
      <c r="B78" s="59">
        <v>76</v>
      </c>
      <c r="C78" s="17" t="s">
        <v>94</v>
      </c>
      <c r="D78" s="60">
        <v>48.351100398397925</v>
      </c>
      <c r="E78" s="36">
        <v>157.68550863723607</v>
      </c>
    </row>
    <row r="79" spans="1:5" s="10" customFormat="1" ht="15" customHeight="1" x14ac:dyDescent="0.25">
      <c r="A79" s="11"/>
      <c r="B79" s="59">
        <v>77</v>
      </c>
      <c r="C79" s="17" t="s">
        <v>95</v>
      </c>
      <c r="D79" s="60">
        <v>46.069950869802696</v>
      </c>
      <c r="E79" s="36">
        <v>149.5573896353167</v>
      </c>
    </row>
    <row r="80" spans="1:5" s="10" customFormat="1" ht="15" customHeight="1" x14ac:dyDescent="0.25">
      <c r="A80" s="11"/>
      <c r="B80" s="59">
        <v>78</v>
      </c>
      <c r="C80" s="17" t="s">
        <v>172</v>
      </c>
      <c r="D80" s="60">
        <v>144.727217</v>
      </c>
      <c r="E80" s="36"/>
    </row>
    <row r="81" spans="1:7" s="10" customFormat="1" ht="15" customHeight="1" x14ac:dyDescent="0.25">
      <c r="A81" s="11">
        <v>1</v>
      </c>
      <c r="B81" s="59">
        <v>79</v>
      </c>
      <c r="C81" s="17" t="s">
        <v>16</v>
      </c>
      <c r="D81" s="60">
        <v>87.838800000000035</v>
      </c>
      <c r="E81" s="36">
        <v>343.21999999999997</v>
      </c>
    </row>
    <row r="82" spans="1:7" s="10" customFormat="1" ht="15" customHeight="1" x14ac:dyDescent="0.25">
      <c r="A82" s="11">
        <v>1</v>
      </c>
      <c r="B82" s="59">
        <v>80</v>
      </c>
      <c r="C82" s="17" t="s">
        <v>17</v>
      </c>
      <c r="D82" s="60">
        <v>153.34879999999998</v>
      </c>
      <c r="E82" s="36">
        <v>726.42</v>
      </c>
    </row>
    <row r="83" spans="1:7" s="10" customFormat="1" ht="15" customHeight="1" x14ac:dyDescent="0.25">
      <c r="A83" s="11"/>
      <c r="B83" s="59">
        <v>81</v>
      </c>
      <c r="C83" s="17" t="s">
        <v>173</v>
      </c>
      <c r="D83" s="60">
        <v>68.268721999999983</v>
      </c>
      <c r="E83" s="36"/>
    </row>
    <row r="84" spans="1:7" s="10" customFormat="1" ht="15" customHeight="1" x14ac:dyDescent="0.25">
      <c r="A84" s="11"/>
      <c r="B84" s="59">
        <v>82</v>
      </c>
      <c r="C84" s="17" t="s">
        <v>174</v>
      </c>
      <c r="D84" s="60">
        <v>68.902488896691978</v>
      </c>
      <c r="E84" s="36"/>
    </row>
    <row r="85" spans="1:7" s="10" customFormat="1" ht="15" customHeight="1" x14ac:dyDescent="0.25">
      <c r="A85" s="11"/>
      <c r="B85" s="59">
        <v>83</v>
      </c>
      <c r="C85" s="17" t="s">
        <v>81</v>
      </c>
      <c r="D85" s="60">
        <v>0.81511653918314331</v>
      </c>
      <c r="E85" s="36">
        <v>7.06</v>
      </c>
    </row>
    <row r="86" spans="1:7" s="10" customFormat="1" ht="15" customHeight="1" x14ac:dyDescent="0.25">
      <c r="A86" s="11"/>
      <c r="B86" s="59">
        <v>84</v>
      </c>
      <c r="C86" s="17" t="s">
        <v>124</v>
      </c>
      <c r="D86" s="60">
        <v>19.020489660433373</v>
      </c>
      <c r="E86" s="36">
        <v>103.82</v>
      </c>
    </row>
    <row r="87" spans="1:7" s="10" customFormat="1" ht="15" customHeight="1" x14ac:dyDescent="0.25">
      <c r="A87" s="11"/>
      <c r="B87" s="59">
        <v>85</v>
      </c>
      <c r="C87" s="17" t="s">
        <v>175</v>
      </c>
      <c r="D87" s="60">
        <v>87.234393800383472</v>
      </c>
      <c r="E87" s="36"/>
    </row>
    <row r="88" spans="1:7" s="10" customFormat="1" ht="15" customHeight="1" x14ac:dyDescent="0.25">
      <c r="A88" s="11"/>
      <c r="B88" s="59">
        <v>86</v>
      </c>
      <c r="C88" s="17" t="s">
        <v>176</v>
      </c>
      <c r="D88" s="60">
        <v>53.365000000000009</v>
      </c>
      <c r="E88" s="36"/>
    </row>
    <row r="89" spans="1:7" s="10" customFormat="1" ht="15" customHeight="1" x14ac:dyDescent="0.25">
      <c r="A89" s="11"/>
      <c r="B89" s="59">
        <v>87</v>
      </c>
      <c r="C89" s="17" t="s">
        <v>177</v>
      </c>
      <c r="D89" s="60">
        <v>55.010999999999981</v>
      </c>
      <c r="E89" s="36"/>
    </row>
    <row r="90" spans="1:7" s="10" customFormat="1" ht="15" customHeight="1" x14ac:dyDescent="0.25">
      <c r="A90" s="11">
        <v>1</v>
      </c>
      <c r="B90" s="59">
        <v>88</v>
      </c>
      <c r="C90" s="17" t="s">
        <v>18</v>
      </c>
      <c r="D90" s="60">
        <v>88.661799999999999</v>
      </c>
      <c r="E90" s="36">
        <v>343.02</v>
      </c>
    </row>
    <row r="91" spans="1:7" s="10" customFormat="1" ht="15" customHeight="1" x14ac:dyDescent="0.25">
      <c r="A91" s="11"/>
      <c r="B91" s="59">
        <v>89</v>
      </c>
      <c r="C91" s="17" t="s">
        <v>86</v>
      </c>
      <c r="D91" s="60">
        <v>64.701715169028262</v>
      </c>
      <c r="E91" s="36">
        <v>162.694635193133</v>
      </c>
    </row>
    <row r="92" spans="1:7" s="10" customFormat="1" ht="15" customHeight="1" x14ac:dyDescent="0.25">
      <c r="A92" s="11"/>
      <c r="B92" s="59">
        <v>90</v>
      </c>
      <c r="C92" s="17" t="s">
        <v>87</v>
      </c>
      <c r="D92" s="60">
        <v>44.202091934538871</v>
      </c>
      <c r="E92" s="36">
        <v>162.694635193133</v>
      </c>
    </row>
    <row r="93" spans="1:7" s="10" customFormat="1" ht="15" customHeight="1" x14ac:dyDescent="0.25">
      <c r="A93" s="11"/>
      <c r="B93" s="59">
        <v>91</v>
      </c>
      <c r="C93" s="17" t="s">
        <v>88</v>
      </c>
      <c r="D93" s="60">
        <v>21.766192896432855</v>
      </c>
      <c r="E93" s="36">
        <v>73.640729613733896</v>
      </c>
    </row>
    <row r="94" spans="1:7" s="10" customFormat="1" ht="15" customHeight="1" x14ac:dyDescent="0.25">
      <c r="A94" s="11"/>
      <c r="B94" s="59">
        <v>92</v>
      </c>
      <c r="C94" s="17" t="s">
        <v>178</v>
      </c>
      <c r="D94" s="60">
        <v>95.139999999999972</v>
      </c>
      <c r="E94" s="36"/>
    </row>
    <row r="95" spans="1:7" s="10" customFormat="1" ht="15" customHeight="1" x14ac:dyDescent="0.25">
      <c r="A95" s="11">
        <v>1</v>
      </c>
      <c r="B95" s="59">
        <v>93</v>
      </c>
      <c r="C95" s="17" t="s">
        <v>19</v>
      </c>
      <c r="D95" s="60">
        <v>85.54559408662594</v>
      </c>
      <c r="E95" s="36">
        <v>260.913006993007</v>
      </c>
    </row>
    <row r="96" spans="1:7" s="10" customFormat="1" ht="15" customHeight="1" x14ac:dyDescent="0.25">
      <c r="A96" s="11"/>
      <c r="B96" s="59">
        <v>94</v>
      </c>
      <c r="C96" s="17" t="s">
        <v>20</v>
      </c>
      <c r="D96" s="60">
        <v>19.494405913374063</v>
      </c>
      <c r="E96" s="36">
        <v>72.216993006993007</v>
      </c>
      <c r="G96" s="35"/>
    </row>
    <row r="97" spans="1:9" s="10" customFormat="1" ht="15" customHeight="1" x14ac:dyDescent="0.25">
      <c r="A97" s="11">
        <v>1</v>
      </c>
      <c r="B97" s="59">
        <v>95</v>
      </c>
      <c r="C97" s="17" t="s">
        <v>21</v>
      </c>
      <c r="D97" s="60">
        <v>48.61</v>
      </c>
      <c r="E97" s="36">
        <v>167.63</v>
      </c>
      <c r="G97" s="35"/>
    </row>
    <row r="98" spans="1:9" s="10" customFormat="1" ht="15" customHeight="1" x14ac:dyDescent="0.25">
      <c r="A98" s="11"/>
      <c r="B98" s="59">
        <v>96</v>
      </c>
      <c r="C98" s="17" t="s">
        <v>179</v>
      </c>
      <c r="D98" s="60">
        <v>64.515799999999984</v>
      </c>
      <c r="E98" s="37"/>
      <c r="G98" s="35"/>
      <c r="H98" s="35"/>
    </row>
    <row r="99" spans="1:9" s="10" customFormat="1" ht="15" customHeight="1" x14ac:dyDescent="0.25">
      <c r="A99" s="11"/>
      <c r="B99" s="59">
        <v>97</v>
      </c>
      <c r="C99" s="17" t="s">
        <v>180</v>
      </c>
      <c r="D99" s="60">
        <v>148.67184648814836</v>
      </c>
      <c r="E99" s="37"/>
    </row>
    <row r="100" spans="1:9" s="10" customFormat="1" ht="15" customHeight="1" x14ac:dyDescent="0.25">
      <c r="A100" s="11">
        <v>1</v>
      </c>
      <c r="B100" s="59">
        <v>98</v>
      </c>
      <c r="C100" s="17" t="s">
        <v>22</v>
      </c>
      <c r="D100" s="60">
        <v>37.588033360751382</v>
      </c>
      <c r="E100" s="36">
        <v>152.4388429752066</v>
      </c>
    </row>
    <row r="101" spans="1:9" s="10" customFormat="1" ht="15" customHeight="1" x14ac:dyDescent="0.25">
      <c r="A101" s="11"/>
      <c r="B101" s="59">
        <v>99</v>
      </c>
      <c r="C101" s="17" t="s">
        <v>23</v>
      </c>
      <c r="D101" s="60">
        <v>32.83196663924862</v>
      </c>
      <c r="E101" s="36">
        <v>122.86115702479337</v>
      </c>
    </row>
    <row r="102" spans="1:9" s="10" customFormat="1" ht="15" customHeight="1" x14ac:dyDescent="0.25">
      <c r="A102" s="11"/>
      <c r="B102" s="59">
        <v>100</v>
      </c>
      <c r="C102" s="17" t="s">
        <v>181</v>
      </c>
      <c r="D102" s="60">
        <v>69.940000000000012</v>
      </c>
      <c r="E102" s="36"/>
    </row>
    <row r="103" spans="1:9" s="10" customFormat="1" ht="15" customHeight="1" x14ac:dyDescent="0.25">
      <c r="A103" s="11">
        <v>1</v>
      </c>
      <c r="B103" s="59">
        <v>101</v>
      </c>
      <c r="C103" s="17" t="s">
        <v>24</v>
      </c>
      <c r="D103" s="60">
        <v>64.928200000000004</v>
      </c>
      <c r="E103" s="36">
        <v>210.27999999999994</v>
      </c>
    </row>
    <row r="104" spans="1:9" s="10" customFormat="1" ht="15" customHeight="1" x14ac:dyDescent="0.25">
      <c r="A104" s="11"/>
      <c r="B104" s="59">
        <v>102</v>
      </c>
      <c r="C104" s="17" t="s">
        <v>182</v>
      </c>
      <c r="D104" s="60">
        <f>144.81+118.78</f>
        <v>263.59000000000003</v>
      </c>
      <c r="E104" s="36"/>
    </row>
    <row r="105" spans="1:9" s="10" customFormat="1" ht="15" customHeight="1" x14ac:dyDescent="0.25">
      <c r="A105" s="11"/>
      <c r="B105" s="59">
        <v>103</v>
      </c>
      <c r="C105" s="17" t="s">
        <v>183</v>
      </c>
      <c r="D105" s="60">
        <v>148.15800000000002</v>
      </c>
      <c r="E105" s="36"/>
    </row>
    <row r="106" spans="1:9" s="10" customFormat="1" ht="15" customHeight="1" x14ac:dyDescent="0.25">
      <c r="A106" s="11"/>
      <c r="B106" s="59">
        <v>104</v>
      </c>
      <c r="C106" s="17" t="s">
        <v>133</v>
      </c>
      <c r="D106" s="60">
        <v>48.375242119484284</v>
      </c>
      <c r="E106" s="36"/>
    </row>
    <row r="107" spans="1:9" s="14" customFormat="1" ht="15" customHeight="1" x14ac:dyDescent="0.25">
      <c r="A107" s="12"/>
      <c r="B107" s="59">
        <v>105</v>
      </c>
      <c r="C107" s="17" t="s">
        <v>137</v>
      </c>
      <c r="D107" s="60">
        <v>18.220310532008742</v>
      </c>
      <c r="E107" s="36">
        <v>31.181944444444451</v>
      </c>
    </row>
    <row r="108" spans="1:9" s="14" customFormat="1" ht="15" customHeight="1" x14ac:dyDescent="0.25">
      <c r="A108" s="12"/>
      <c r="B108" s="59">
        <v>106</v>
      </c>
      <c r="C108" s="17" t="s">
        <v>134</v>
      </c>
      <c r="D108" s="60">
        <v>16.566431418599713</v>
      </c>
      <c r="E108" s="36">
        <v>48.332013888888895</v>
      </c>
    </row>
    <row r="109" spans="1:9" s="14" customFormat="1" ht="15" customHeight="1" x14ac:dyDescent="0.25">
      <c r="A109" s="12"/>
      <c r="B109" s="59">
        <v>107</v>
      </c>
      <c r="C109" s="17" t="s">
        <v>135</v>
      </c>
      <c r="D109" s="60">
        <v>61.578015929907274</v>
      </c>
      <c r="E109" s="36">
        <v>144.99604166666666</v>
      </c>
    </row>
    <row r="110" spans="1:9" s="10" customFormat="1" ht="15" customHeight="1" x14ac:dyDescent="0.25">
      <c r="A110" s="11">
        <v>5</v>
      </c>
      <c r="B110" s="59">
        <v>108</v>
      </c>
      <c r="C110" s="17" t="s">
        <v>25</v>
      </c>
      <c r="D110" s="60">
        <f>170.4+132.38+99.9+107.5+221.58</f>
        <v>731.76</v>
      </c>
      <c r="E110" s="36">
        <f>707.6+415.38+340.87+294.79+608.54</f>
        <v>2367.1799999999998</v>
      </c>
    </row>
    <row r="111" spans="1:9" s="10" customFormat="1" ht="15" customHeight="1" x14ac:dyDescent="0.25">
      <c r="A111" s="11">
        <v>8</v>
      </c>
      <c r="B111" s="59">
        <v>109</v>
      </c>
      <c r="C111" s="17" t="s">
        <v>70</v>
      </c>
      <c r="D111" s="60">
        <v>689.02472151049597</v>
      </c>
      <c r="E111" s="36">
        <v>2204.3454110482817</v>
      </c>
      <c r="I111" s="35"/>
    </row>
    <row r="112" spans="1:9" s="10" customFormat="1" ht="14.25" customHeight="1" x14ac:dyDescent="0.25">
      <c r="A112" s="11"/>
      <c r="B112" s="59">
        <v>110</v>
      </c>
      <c r="C112" s="17" t="s">
        <v>78</v>
      </c>
      <c r="D112" s="60">
        <v>771.09527848950381</v>
      </c>
      <c r="E112" s="36">
        <v>2603.804588951718</v>
      </c>
    </row>
    <row r="113" spans="1:5" s="10" customFormat="1" ht="15.75" customHeight="1" x14ac:dyDescent="0.25">
      <c r="A113" s="11">
        <v>2</v>
      </c>
      <c r="B113" s="59">
        <v>111</v>
      </c>
      <c r="C113" s="17" t="s">
        <v>26</v>
      </c>
      <c r="D113" s="60">
        <f>96.89+208.42</f>
        <v>305.31</v>
      </c>
      <c r="E113" s="36">
        <f>265.87+531.37</f>
        <v>797.24</v>
      </c>
    </row>
    <row r="114" spans="1:5" s="10" customFormat="1" ht="15" customHeight="1" x14ac:dyDescent="0.25">
      <c r="A114" s="11">
        <v>5</v>
      </c>
      <c r="B114" s="59">
        <v>112</v>
      </c>
      <c r="C114" s="17" t="s">
        <v>27</v>
      </c>
      <c r="D114" s="60">
        <v>822.35</v>
      </c>
      <c r="E114" s="37">
        <f>567.9+370.73+306.42+304.23+703.64</f>
        <v>2252.92</v>
      </c>
    </row>
    <row r="115" spans="1:5" s="10" customFormat="1" ht="15" customHeight="1" x14ac:dyDescent="0.25">
      <c r="A115" s="11"/>
      <c r="B115" s="59">
        <v>113</v>
      </c>
      <c r="C115" s="17" t="s">
        <v>58</v>
      </c>
      <c r="D115" s="60">
        <v>113.06500000000001</v>
      </c>
      <c r="E115" s="36">
        <v>253.15000000000003</v>
      </c>
    </row>
    <row r="116" spans="1:5" s="10" customFormat="1" ht="15" customHeight="1" x14ac:dyDescent="0.25">
      <c r="A116" s="11"/>
      <c r="B116" s="59">
        <v>114</v>
      </c>
      <c r="C116" s="17" t="s">
        <v>117</v>
      </c>
      <c r="D116" s="60">
        <v>33.851506471925838</v>
      </c>
      <c r="E116" s="36"/>
    </row>
    <row r="117" spans="1:5" s="10" customFormat="1" ht="15" customHeight="1" x14ac:dyDescent="0.25">
      <c r="A117" s="11"/>
      <c r="B117" s="59">
        <v>115</v>
      </c>
      <c r="C117" s="17" t="s">
        <v>79</v>
      </c>
      <c r="D117" s="60">
        <v>12.898493528074164</v>
      </c>
      <c r="E117" s="36">
        <v>44.73</v>
      </c>
    </row>
    <row r="118" spans="1:5" s="10" customFormat="1" ht="15" customHeight="1" x14ac:dyDescent="0.25">
      <c r="A118" s="11"/>
      <c r="B118" s="59">
        <v>116</v>
      </c>
      <c r="C118" s="17" t="s">
        <v>80</v>
      </c>
      <c r="D118" s="60">
        <v>31.46</v>
      </c>
      <c r="E118" s="36">
        <v>81.34</v>
      </c>
    </row>
    <row r="119" spans="1:5" s="10" customFormat="1" ht="15" customHeight="1" x14ac:dyDescent="0.25">
      <c r="A119" s="11"/>
      <c r="B119" s="59">
        <v>117</v>
      </c>
      <c r="C119" s="17" t="s">
        <v>71</v>
      </c>
      <c r="D119" s="60">
        <v>49.25</v>
      </c>
      <c r="E119" s="36">
        <v>176.83</v>
      </c>
    </row>
    <row r="120" spans="1:5" s="10" customFormat="1" ht="15" customHeight="1" x14ac:dyDescent="0.25">
      <c r="A120" s="11"/>
      <c r="B120" s="59">
        <v>118</v>
      </c>
      <c r="C120" s="17" t="s">
        <v>260</v>
      </c>
      <c r="D120" s="60">
        <v>126.67664412058255</v>
      </c>
      <c r="E120" s="36">
        <v>387.60304496657693</v>
      </c>
    </row>
    <row r="121" spans="1:5" s="10" customFormat="1" ht="15" customHeight="1" x14ac:dyDescent="0.25">
      <c r="A121" s="11"/>
      <c r="B121" s="59">
        <v>119</v>
      </c>
      <c r="C121" s="17" t="s">
        <v>261</v>
      </c>
      <c r="D121" s="60">
        <v>15.173355879417453</v>
      </c>
      <c r="E121" s="36">
        <v>49.219434281470086</v>
      </c>
    </row>
    <row r="122" spans="1:5" s="10" customFormat="1" ht="15" customHeight="1" x14ac:dyDescent="0.25">
      <c r="A122" s="11"/>
      <c r="B122" s="59">
        <v>120</v>
      </c>
      <c r="C122" s="17" t="s">
        <v>184</v>
      </c>
      <c r="D122" s="60">
        <v>80.280211999999992</v>
      </c>
      <c r="E122" s="11"/>
    </row>
    <row r="123" spans="1:5" s="10" customFormat="1" ht="15" customHeight="1" x14ac:dyDescent="0.25">
      <c r="A123" s="11"/>
      <c r="B123" s="59">
        <v>121</v>
      </c>
      <c r="C123" s="17" t="s">
        <v>185</v>
      </c>
      <c r="D123" s="60">
        <v>59.629909999999988</v>
      </c>
      <c r="E123" s="11"/>
    </row>
    <row r="124" spans="1:5" s="10" customFormat="1" ht="15" customHeight="1" x14ac:dyDescent="0.25">
      <c r="A124" s="11"/>
      <c r="B124" s="59">
        <v>122</v>
      </c>
      <c r="C124" s="17" t="s">
        <v>186</v>
      </c>
      <c r="D124" s="60">
        <v>122.26263200000001</v>
      </c>
      <c r="E124" s="11"/>
    </row>
    <row r="125" spans="1:5" s="10" customFormat="1" ht="15" customHeight="1" x14ac:dyDescent="0.25">
      <c r="A125" s="11"/>
      <c r="B125" s="59">
        <v>123</v>
      </c>
      <c r="C125" s="17" t="s">
        <v>187</v>
      </c>
      <c r="D125" s="60">
        <v>61.347090999999999</v>
      </c>
      <c r="E125" s="11"/>
    </row>
    <row r="126" spans="1:5" s="10" customFormat="1" ht="15" customHeight="1" x14ac:dyDescent="0.25">
      <c r="A126" s="11"/>
      <c r="B126" s="59">
        <v>124</v>
      </c>
      <c r="C126" s="17" t="s">
        <v>188</v>
      </c>
      <c r="D126" s="60">
        <v>73.546705999999986</v>
      </c>
      <c r="E126" s="11"/>
    </row>
    <row r="127" spans="1:5" s="10" customFormat="1" ht="15.75" customHeight="1" x14ac:dyDescent="0.25">
      <c r="A127" s="11">
        <v>3</v>
      </c>
      <c r="B127" s="59">
        <v>125</v>
      </c>
      <c r="C127" s="17" t="s">
        <v>28</v>
      </c>
      <c r="D127" s="60">
        <v>449.17</v>
      </c>
      <c r="E127" s="11">
        <v>1635.46</v>
      </c>
    </row>
    <row r="128" spans="1:5" s="10" customFormat="1" ht="15" customHeight="1" x14ac:dyDescent="0.25">
      <c r="A128" s="11">
        <v>1</v>
      </c>
      <c r="B128" s="59">
        <v>126</v>
      </c>
      <c r="C128" s="17" t="s">
        <v>29</v>
      </c>
      <c r="D128" s="60">
        <v>165.84799999999998</v>
      </c>
      <c r="E128" s="36">
        <v>662.37</v>
      </c>
    </row>
    <row r="129" spans="1:5" s="14" customFormat="1" ht="15" customHeight="1" x14ac:dyDescent="0.25">
      <c r="A129" s="12"/>
      <c r="B129" s="59">
        <v>127</v>
      </c>
      <c r="C129" s="17" t="s">
        <v>141</v>
      </c>
      <c r="D129" s="60">
        <v>172.03540000000004</v>
      </c>
      <c r="E129" s="36">
        <v>331.05999999999995</v>
      </c>
    </row>
    <row r="130" spans="1:5" s="10" customFormat="1" ht="15" customHeight="1" x14ac:dyDescent="0.25">
      <c r="A130" s="11"/>
      <c r="B130" s="59">
        <v>128</v>
      </c>
      <c r="C130" s="17" t="s">
        <v>96</v>
      </c>
      <c r="D130" s="60">
        <v>1032.8295033778247</v>
      </c>
      <c r="E130" s="36">
        <v>2662.7193618116312</v>
      </c>
    </row>
    <row r="131" spans="1:5" s="10" customFormat="1" ht="15" customHeight="1" x14ac:dyDescent="0.25">
      <c r="A131" s="11"/>
      <c r="B131" s="59">
        <v>129</v>
      </c>
      <c r="C131" s="17" t="s">
        <v>97</v>
      </c>
      <c r="D131" s="60">
        <v>207.93058826080878</v>
      </c>
      <c r="E131" s="36">
        <v>519.55499742665972</v>
      </c>
    </row>
    <row r="132" spans="1:5" s="10" customFormat="1" ht="15" customHeight="1" x14ac:dyDescent="0.25">
      <c r="A132" s="11"/>
      <c r="B132" s="59">
        <v>130</v>
      </c>
      <c r="C132" s="17" t="s">
        <v>98</v>
      </c>
      <c r="D132" s="60">
        <v>221.00990836136643</v>
      </c>
      <c r="E132" s="36">
        <v>529.10564076170863</v>
      </c>
    </row>
    <row r="133" spans="1:5" s="10" customFormat="1" ht="15" customHeight="1" x14ac:dyDescent="0.25">
      <c r="A133" s="11">
        <v>4</v>
      </c>
      <c r="B133" s="59">
        <v>131</v>
      </c>
      <c r="C133" s="17" t="s">
        <v>74</v>
      </c>
      <c r="D133" s="60">
        <v>193.4049065395817</v>
      </c>
      <c r="E133" s="36">
        <v>596.29698015530641</v>
      </c>
    </row>
    <row r="134" spans="1:5" s="10" customFormat="1" ht="15" customHeight="1" x14ac:dyDescent="0.25">
      <c r="A134" s="11"/>
      <c r="B134" s="59">
        <v>132</v>
      </c>
      <c r="C134" s="17" t="s">
        <v>75</v>
      </c>
      <c r="D134" s="60">
        <v>203.69162468124242</v>
      </c>
      <c r="E134" s="36">
        <v>541.08429680759286</v>
      </c>
    </row>
    <row r="135" spans="1:5" s="10" customFormat="1" ht="15" customHeight="1" x14ac:dyDescent="0.25">
      <c r="A135" s="11"/>
      <c r="B135" s="59">
        <v>133</v>
      </c>
      <c r="C135" s="17" t="s">
        <v>76</v>
      </c>
      <c r="D135" s="60">
        <v>207.56004737817537</v>
      </c>
      <c r="E135" s="36">
        <v>570.53106125970669</v>
      </c>
    </row>
    <row r="136" spans="1:5" s="10" customFormat="1" ht="15" customHeight="1" x14ac:dyDescent="0.25">
      <c r="A136" s="11"/>
      <c r="B136" s="59">
        <v>134</v>
      </c>
      <c r="C136" s="17" t="s">
        <v>77</v>
      </c>
      <c r="D136" s="60">
        <v>123.21342140100052</v>
      </c>
      <c r="E136" s="36">
        <v>425.13766177739433</v>
      </c>
    </row>
    <row r="137" spans="1:5" s="10" customFormat="1" ht="15" customHeight="1" x14ac:dyDescent="0.25">
      <c r="A137" s="11">
        <v>1</v>
      </c>
      <c r="B137" s="59">
        <v>135</v>
      </c>
      <c r="C137" s="17" t="s">
        <v>30</v>
      </c>
      <c r="D137" s="60">
        <v>156.32843392000001</v>
      </c>
      <c r="E137" s="36">
        <v>768.49376800000016</v>
      </c>
    </row>
    <row r="138" spans="1:5" s="10" customFormat="1" ht="15" customHeight="1" x14ac:dyDescent="0.25">
      <c r="A138" s="11">
        <v>1</v>
      </c>
      <c r="B138" s="59">
        <v>136</v>
      </c>
      <c r="C138" s="17" t="s">
        <v>31</v>
      </c>
      <c r="D138" s="60">
        <v>168.60040000000004</v>
      </c>
      <c r="E138" s="36">
        <v>471.56</v>
      </c>
    </row>
    <row r="139" spans="1:5" s="10" customFormat="1" ht="15" customHeight="1" x14ac:dyDescent="0.25">
      <c r="A139" s="11">
        <v>1</v>
      </c>
      <c r="B139" s="59">
        <v>137</v>
      </c>
      <c r="C139" s="17" t="s">
        <v>32</v>
      </c>
      <c r="D139" s="60">
        <v>175.18960000000001</v>
      </c>
      <c r="E139" s="36">
        <v>663.99</v>
      </c>
    </row>
    <row r="140" spans="1:5" s="10" customFormat="1" ht="15" customHeight="1" x14ac:dyDescent="0.25">
      <c r="A140" s="11"/>
      <c r="B140" s="59">
        <v>138</v>
      </c>
      <c r="C140" s="17" t="s">
        <v>104</v>
      </c>
      <c r="D140" s="60">
        <v>44.062213730039581</v>
      </c>
      <c r="E140" s="11"/>
    </row>
    <row r="141" spans="1:5" s="10" customFormat="1" ht="15" customHeight="1" x14ac:dyDescent="0.25">
      <c r="A141" s="11"/>
      <c r="B141" s="59">
        <v>139</v>
      </c>
      <c r="C141" s="17" t="s">
        <v>105</v>
      </c>
      <c r="D141" s="60">
        <v>42.857786269960421</v>
      </c>
      <c r="E141" s="36"/>
    </row>
    <row r="142" spans="1:5" s="10" customFormat="1" ht="15" customHeight="1" x14ac:dyDescent="0.25">
      <c r="A142" s="11">
        <v>1</v>
      </c>
      <c r="B142" s="59">
        <v>140</v>
      </c>
      <c r="C142" s="17" t="s">
        <v>33</v>
      </c>
      <c r="D142" s="60">
        <v>56.71553248218909</v>
      </c>
      <c r="E142" s="36">
        <v>174.32</v>
      </c>
    </row>
    <row r="143" spans="1:5" s="10" customFormat="1" ht="15" customHeight="1" x14ac:dyDescent="0.25">
      <c r="A143" s="11"/>
      <c r="B143" s="59">
        <v>141</v>
      </c>
      <c r="C143" s="17" t="s">
        <v>82</v>
      </c>
      <c r="D143" s="60">
        <v>11.671841905393553</v>
      </c>
      <c r="E143" s="36">
        <v>15.77</v>
      </c>
    </row>
    <row r="144" spans="1:5" s="10" customFormat="1" ht="15" customHeight="1" x14ac:dyDescent="0.25">
      <c r="A144" s="11"/>
      <c r="B144" s="59">
        <v>142</v>
      </c>
      <c r="C144" s="17" t="s">
        <v>189</v>
      </c>
      <c r="D144" s="60">
        <v>60.072625612417376</v>
      </c>
      <c r="E144" s="11"/>
    </row>
    <row r="145" spans="1:5" s="10" customFormat="1" ht="15" customHeight="1" x14ac:dyDescent="0.25">
      <c r="A145" s="11"/>
      <c r="B145" s="59">
        <v>143</v>
      </c>
      <c r="C145" s="17" t="s">
        <v>226</v>
      </c>
      <c r="D145" s="60">
        <v>65.057592</v>
      </c>
      <c r="E145" s="11"/>
    </row>
    <row r="146" spans="1:5" s="10" customFormat="1" ht="15" customHeight="1" x14ac:dyDescent="0.25">
      <c r="A146" s="11">
        <v>1</v>
      </c>
      <c r="B146" s="59">
        <v>144</v>
      </c>
      <c r="C146" s="17" t="s">
        <v>34</v>
      </c>
      <c r="D146" s="60">
        <v>51.276200000000003</v>
      </c>
      <c r="E146" s="36">
        <v>168.83000000000004</v>
      </c>
    </row>
    <row r="147" spans="1:5" s="10" customFormat="1" ht="15" customHeight="1" x14ac:dyDescent="0.25">
      <c r="A147" s="11"/>
      <c r="B147" s="59">
        <v>145</v>
      </c>
      <c r="C147" s="17" t="s">
        <v>190</v>
      </c>
      <c r="D147" s="60">
        <v>140.15980500000001</v>
      </c>
      <c r="E147" s="11"/>
    </row>
    <row r="148" spans="1:5" s="10" customFormat="1" ht="15" customHeight="1" x14ac:dyDescent="0.25">
      <c r="A148" s="11">
        <v>1</v>
      </c>
      <c r="B148" s="59">
        <v>146</v>
      </c>
      <c r="C148" s="17" t="s">
        <v>35</v>
      </c>
      <c r="D148" s="60">
        <v>65.577799999999996</v>
      </c>
      <c r="E148" s="36">
        <v>235.84</v>
      </c>
    </row>
    <row r="149" spans="1:5" s="10" customFormat="1" ht="15" customHeight="1" x14ac:dyDescent="0.25">
      <c r="A149" s="11"/>
      <c r="B149" s="59">
        <v>147</v>
      </c>
      <c r="C149" s="17" t="s">
        <v>191</v>
      </c>
      <c r="D149" s="60">
        <v>74.176779999999994</v>
      </c>
      <c r="E149" s="11"/>
    </row>
    <row r="150" spans="1:5" s="10" customFormat="1" ht="15" customHeight="1" x14ac:dyDescent="0.25">
      <c r="A150" s="11"/>
      <c r="B150" s="59">
        <v>148</v>
      </c>
      <c r="C150" s="17" t="s">
        <v>192</v>
      </c>
      <c r="D150" s="60">
        <v>113.59200000000001</v>
      </c>
      <c r="E150" s="11"/>
    </row>
    <row r="151" spans="1:5" s="10" customFormat="1" ht="15" customHeight="1" x14ac:dyDescent="0.25">
      <c r="A151" s="11"/>
      <c r="B151" s="59">
        <v>149</v>
      </c>
      <c r="C151" s="17" t="s">
        <v>227</v>
      </c>
      <c r="D151" s="60">
        <v>355.46395672588437</v>
      </c>
      <c r="E151" s="36"/>
    </row>
    <row r="152" spans="1:5" s="10" customFormat="1" ht="15" customHeight="1" x14ac:dyDescent="0.25">
      <c r="A152" s="11"/>
      <c r="B152" s="59">
        <v>150</v>
      </c>
      <c r="C152" s="17" t="s">
        <v>139</v>
      </c>
      <c r="D152" s="60">
        <v>49.026764055944327</v>
      </c>
      <c r="E152" s="36">
        <v>61.937828571428568</v>
      </c>
    </row>
    <row r="153" spans="1:5" s="14" customFormat="1" ht="15" customHeight="1" x14ac:dyDescent="0.25">
      <c r="A153" s="12"/>
      <c r="B153" s="59">
        <v>151</v>
      </c>
      <c r="C153" s="17" t="s">
        <v>140</v>
      </c>
      <c r="D153" s="60">
        <v>35.88927921817136</v>
      </c>
      <c r="E153" s="36">
        <v>229.16</v>
      </c>
    </row>
    <row r="154" spans="1:5" s="14" customFormat="1" ht="15" customHeight="1" x14ac:dyDescent="0.25">
      <c r="A154" s="12"/>
      <c r="B154" s="59">
        <v>152</v>
      </c>
      <c r="C154" s="17" t="s">
        <v>193</v>
      </c>
      <c r="D154" s="60">
        <v>213.89999999999998</v>
      </c>
      <c r="E154" s="11"/>
    </row>
    <row r="155" spans="1:5" s="14" customFormat="1" ht="15" customHeight="1" x14ac:dyDescent="0.25">
      <c r="A155" s="12"/>
      <c r="B155" s="59">
        <v>153</v>
      </c>
      <c r="C155" s="17" t="s">
        <v>194</v>
      </c>
      <c r="D155" s="60">
        <v>142.88999999999999</v>
      </c>
      <c r="E155" s="11"/>
    </row>
    <row r="156" spans="1:5" s="14" customFormat="1" ht="15" customHeight="1" x14ac:dyDescent="0.25">
      <c r="A156" s="12"/>
      <c r="B156" s="59">
        <v>154</v>
      </c>
      <c r="C156" s="17" t="s">
        <v>195</v>
      </c>
      <c r="D156" s="60">
        <v>112.693054</v>
      </c>
      <c r="E156" s="11"/>
    </row>
    <row r="157" spans="1:5" s="14" customFormat="1" ht="15" customHeight="1" x14ac:dyDescent="0.25">
      <c r="A157" s="12"/>
      <c r="B157" s="59">
        <v>155</v>
      </c>
      <c r="C157" s="17" t="s">
        <v>196</v>
      </c>
      <c r="D157" s="60">
        <v>131.01602955000004</v>
      </c>
      <c r="E157" s="11"/>
    </row>
    <row r="158" spans="1:5" s="14" customFormat="1" ht="15" customHeight="1" x14ac:dyDescent="0.25">
      <c r="A158" s="12"/>
      <c r="B158" s="59">
        <v>156</v>
      </c>
      <c r="C158" s="17" t="s">
        <v>197</v>
      </c>
      <c r="D158" s="60">
        <v>101.35859400000001</v>
      </c>
      <c r="E158" s="11"/>
    </row>
    <row r="159" spans="1:5" s="14" customFormat="1" ht="15" customHeight="1" x14ac:dyDescent="0.25">
      <c r="A159" s="12"/>
      <c r="B159" s="59">
        <v>157</v>
      </c>
      <c r="C159" s="17" t="s">
        <v>198</v>
      </c>
      <c r="D159" s="60">
        <v>143.85637100000002</v>
      </c>
      <c r="E159" s="11"/>
    </row>
    <row r="160" spans="1:5" s="14" customFormat="1" ht="15" customHeight="1" x14ac:dyDescent="0.25">
      <c r="A160" s="12"/>
      <c r="B160" s="59">
        <v>158</v>
      </c>
      <c r="C160" s="17" t="s">
        <v>199</v>
      </c>
      <c r="D160" s="60">
        <v>114.286986</v>
      </c>
      <c r="E160" s="11"/>
    </row>
    <row r="161" spans="1:5" s="14" customFormat="1" ht="15" customHeight="1" x14ac:dyDescent="0.25">
      <c r="A161" s="12"/>
      <c r="B161" s="59">
        <v>159</v>
      </c>
      <c r="C161" s="17" t="s">
        <v>200</v>
      </c>
      <c r="D161" s="60">
        <v>123.48034100000001</v>
      </c>
      <c r="E161" s="11"/>
    </row>
    <row r="162" spans="1:5" s="14" customFormat="1" ht="15" customHeight="1" x14ac:dyDescent="0.25">
      <c r="A162" s="12"/>
      <c r="B162" s="59">
        <v>160</v>
      </c>
      <c r="C162" s="17" t="s">
        <v>201</v>
      </c>
      <c r="D162" s="60">
        <v>95.794245999999987</v>
      </c>
      <c r="E162" s="11"/>
    </row>
    <row r="163" spans="1:5" s="14" customFormat="1" ht="15" customHeight="1" x14ac:dyDescent="0.25">
      <c r="A163" s="12"/>
      <c r="B163" s="59">
        <v>161</v>
      </c>
      <c r="C163" s="17" t="s">
        <v>202</v>
      </c>
      <c r="D163" s="60">
        <v>86.507996000000006</v>
      </c>
      <c r="E163" s="11"/>
    </row>
    <row r="164" spans="1:5" s="14" customFormat="1" ht="15" customHeight="1" x14ac:dyDescent="0.25">
      <c r="A164" s="12"/>
      <c r="B164" s="59">
        <v>162</v>
      </c>
      <c r="C164" s="17" t="s">
        <v>203</v>
      </c>
      <c r="D164" s="60">
        <v>67.143488000000005</v>
      </c>
      <c r="E164" s="11"/>
    </row>
    <row r="165" spans="1:5" s="10" customFormat="1" ht="15" customHeight="1" x14ac:dyDescent="0.25">
      <c r="A165" s="11">
        <v>1</v>
      </c>
      <c r="B165" s="59">
        <v>163</v>
      </c>
      <c r="C165" s="17" t="s">
        <v>36</v>
      </c>
      <c r="D165" s="60">
        <v>81.306489700000014</v>
      </c>
      <c r="E165" s="36">
        <v>287.819455</v>
      </c>
    </row>
    <row r="166" spans="1:5" s="10" customFormat="1" ht="15" customHeight="1" x14ac:dyDescent="0.25">
      <c r="A166" s="11"/>
      <c r="B166" s="59">
        <v>164</v>
      </c>
      <c r="C166" s="17" t="s">
        <v>55</v>
      </c>
      <c r="D166" s="60">
        <f>174.83+144.19</f>
        <v>319.02</v>
      </c>
      <c r="E166" s="11">
        <f>373.95+328.21</f>
        <v>702.16</v>
      </c>
    </row>
    <row r="167" spans="1:5" s="10" customFormat="1" ht="15" customHeight="1" x14ac:dyDescent="0.25">
      <c r="A167" s="11"/>
      <c r="B167" s="59">
        <v>165</v>
      </c>
      <c r="C167" s="17" t="s">
        <v>56</v>
      </c>
      <c r="D167" s="60">
        <f>83.19+131.77+139.2+141.1+85.74</f>
        <v>581</v>
      </c>
      <c r="E167" s="11">
        <f>286.59+482.44+469.42+443.46+315.36</f>
        <v>1997.27</v>
      </c>
    </row>
    <row r="168" spans="1:5" s="10" customFormat="1" ht="15" customHeight="1" x14ac:dyDescent="0.25">
      <c r="A168" s="11"/>
      <c r="B168" s="59">
        <v>166</v>
      </c>
      <c r="C168" s="17" t="s">
        <v>143</v>
      </c>
      <c r="D168" s="60">
        <f>157.33+177.12+193.84+177.18</f>
        <v>705.47</v>
      </c>
      <c r="E168" s="11">
        <f>801.26+1019.58+1360.44+1052.54</f>
        <v>4233.82</v>
      </c>
    </row>
    <row r="169" spans="1:5" s="10" customFormat="1" ht="15" customHeight="1" x14ac:dyDescent="0.25">
      <c r="A169" s="11"/>
      <c r="B169" s="59">
        <v>167</v>
      </c>
      <c r="C169" s="17" t="s">
        <v>204</v>
      </c>
      <c r="D169" s="60">
        <v>157.28109300000003</v>
      </c>
      <c r="E169" s="11"/>
    </row>
    <row r="170" spans="1:5" s="10" customFormat="1" ht="17.25" customHeight="1" x14ac:dyDescent="0.25">
      <c r="A170" s="11">
        <v>2</v>
      </c>
      <c r="B170" s="59">
        <v>168</v>
      </c>
      <c r="C170" s="17" t="s">
        <v>37</v>
      </c>
      <c r="D170" s="60">
        <v>211.06</v>
      </c>
      <c r="E170" s="36">
        <v>419.2</v>
      </c>
    </row>
    <row r="171" spans="1:5" s="10" customFormat="1" ht="17.25" customHeight="1" x14ac:dyDescent="0.25">
      <c r="A171" s="11"/>
      <c r="B171" s="59">
        <v>169</v>
      </c>
      <c r="C171" s="17" t="s">
        <v>205</v>
      </c>
      <c r="D171" s="60">
        <v>59.792635999999995</v>
      </c>
      <c r="E171" s="11"/>
    </row>
    <row r="172" spans="1:5" s="10" customFormat="1" ht="15" customHeight="1" x14ac:dyDescent="0.25">
      <c r="A172" s="11">
        <v>1</v>
      </c>
      <c r="B172" s="59">
        <v>170</v>
      </c>
      <c r="C172" s="17" t="s">
        <v>38</v>
      </c>
      <c r="D172" s="60">
        <v>123.71780000000004</v>
      </c>
      <c r="E172" s="36">
        <v>255.72000000000003</v>
      </c>
    </row>
    <row r="173" spans="1:5" s="10" customFormat="1" ht="15" customHeight="1" x14ac:dyDescent="0.25">
      <c r="A173" s="11">
        <v>1</v>
      </c>
      <c r="B173" s="59">
        <v>171</v>
      </c>
      <c r="C173" s="17" t="s">
        <v>39</v>
      </c>
      <c r="D173" s="60">
        <v>121.4286</v>
      </c>
      <c r="E173" s="36">
        <v>451.4899999999999</v>
      </c>
    </row>
    <row r="174" spans="1:5" s="10" customFormat="1" ht="15" customHeight="1" x14ac:dyDescent="0.25">
      <c r="A174" s="11"/>
      <c r="B174" s="59">
        <v>172</v>
      </c>
      <c r="C174" s="17" t="s">
        <v>206</v>
      </c>
      <c r="D174" s="60">
        <v>96.915905000000009</v>
      </c>
      <c r="E174" s="11"/>
    </row>
    <row r="175" spans="1:5" s="10" customFormat="1" ht="15.75" customHeight="1" x14ac:dyDescent="0.25">
      <c r="A175" s="11"/>
      <c r="B175" s="59">
        <v>173</v>
      </c>
      <c r="C175" s="18" t="s">
        <v>207</v>
      </c>
      <c r="D175" s="60">
        <v>71.182537000000025</v>
      </c>
      <c r="E175" s="11"/>
    </row>
    <row r="176" spans="1:5" s="10" customFormat="1" ht="15" customHeight="1" x14ac:dyDescent="0.25">
      <c r="A176" s="11"/>
      <c r="B176" s="59">
        <v>174</v>
      </c>
      <c r="C176" s="17" t="s">
        <v>107</v>
      </c>
      <c r="D176" s="60">
        <v>78.754781113039854</v>
      </c>
      <c r="E176" s="11"/>
    </row>
    <row r="177" spans="1:6" s="10" customFormat="1" ht="15" customHeight="1" x14ac:dyDescent="0.25">
      <c r="A177" s="11"/>
      <c r="B177" s="59">
        <v>175</v>
      </c>
      <c r="C177" s="17" t="s">
        <v>108</v>
      </c>
      <c r="D177" s="60">
        <v>93.525218886960147</v>
      </c>
      <c r="E177" s="11"/>
    </row>
    <row r="178" spans="1:6" s="10" customFormat="1" ht="15" customHeight="1" x14ac:dyDescent="0.25">
      <c r="A178" s="11"/>
      <c r="B178" s="59">
        <v>176</v>
      </c>
      <c r="C178" s="17" t="s">
        <v>208</v>
      </c>
      <c r="D178" s="60">
        <v>54.006361999999996</v>
      </c>
      <c r="E178" s="11"/>
    </row>
    <row r="179" spans="1:6" s="10" customFormat="1" ht="15" customHeight="1" x14ac:dyDescent="0.25">
      <c r="A179" s="11"/>
      <c r="B179" s="59">
        <v>177</v>
      </c>
      <c r="C179" s="17" t="s">
        <v>41</v>
      </c>
      <c r="D179" s="60">
        <v>79.429753354315054</v>
      </c>
      <c r="E179" s="36">
        <v>314.18013618677048</v>
      </c>
    </row>
    <row r="180" spans="1:6" s="10" customFormat="1" ht="15" customHeight="1" x14ac:dyDescent="0.25">
      <c r="A180" s="11">
        <v>1</v>
      </c>
      <c r="B180" s="59">
        <v>178</v>
      </c>
      <c r="C180" s="17" t="s">
        <v>40</v>
      </c>
      <c r="D180" s="60">
        <v>87.178299163097407</v>
      </c>
      <c r="E180" s="36">
        <v>279.63677042801561</v>
      </c>
    </row>
    <row r="181" spans="1:6" s="10" customFormat="1" ht="15" customHeight="1" x14ac:dyDescent="0.25">
      <c r="A181" s="11"/>
      <c r="B181" s="59">
        <v>179</v>
      </c>
      <c r="C181" s="17" t="s">
        <v>42</v>
      </c>
      <c r="D181" s="60">
        <v>78.681947482587518</v>
      </c>
      <c r="E181" s="36">
        <v>251.67309338521403</v>
      </c>
    </row>
    <row r="182" spans="1:6" s="10" customFormat="1" ht="15" customHeight="1" x14ac:dyDescent="0.25">
      <c r="A182" s="11"/>
      <c r="B182" s="59">
        <v>180</v>
      </c>
      <c r="C182" s="17" t="s">
        <v>256</v>
      </c>
      <c r="D182" s="60">
        <v>31.590537411259788</v>
      </c>
      <c r="E182" s="36"/>
    </row>
    <row r="183" spans="1:6" s="10" customFormat="1" ht="15" customHeight="1" x14ac:dyDescent="0.25">
      <c r="A183" s="11">
        <v>1</v>
      </c>
      <c r="B183" s="59">
        <v>181</v>
      </c>
      <c r="C183" s="17" t="s">
        <v>43</v>
      </c>
      <c r="D183" s="60">
        <v>100.32079999999999</v>
      </c>
      <c r="E183" s="36">
        <v>373.92</v>
      </c>
    </row>
    <row r="184" spans="1:6" s="10" customFormat="1" ht="15" customHeight="1" x14ac:dyDescent="0.25">
      <c r="A184" s="11">
        <v>1</v>
      </c>
      <c r="B184" s="59">
        <v>182</v>
      </c>
      <c r="C184" s="17" t="s">
        <v>44</v>
      </c>
      <c r="D184" s="60">
        <v>79.989065409452877</v>
      </c>
      <c r="E184" s="36">
        <v>337.90117647058827</v>
      </c>
    </row>
    <row r="185" spans="1:6" s="10" customFormat="1" ht="15" customHeight="1" x14ac:dyDescent="0.25">
      <c r="A185" s="11"/>
      <c r="B185" s="59">
        <v>183</v>
      </c>
      <c r="C185" s="17" t="s">
        <v>65</v>
      </c>
      <c r="D185" s="60">
        <v>42.407085693910702</v>
      </c>
      <c r="E185" s="36">
        <v>172.47039215686277</v>
      </c>
    </row>
    <row r="186" spans="1:6" s="10" customFormat="1" ht="15" customHeight="1" x14ac:dyDescent="0.25">
      <c r="A186" s="11"/>
      <c r="B186" s="59">
        <v>184</v>
      </c>
      <c r="C186" s="17" t="s">
        <v>66</v>
      </c>
      <c r="D186" s="60">
        <v>10.853848896636425</v>
      </c>
      <c r="E186" s="36">
        <v>28.158431372549025</v>
      </c>
    </row>
    <row r="187" spans="1:6" s="10" customFormat="1" ht="15" customHeight="1" x14ac:dyDescent="0.25">
      <c r="A187" s="11">
        <v>1</v>
      </c>
      <c r="B187" s="59">
        <v>185</v>
      </c>
      <c r="C187" s="17" t="s">
        <v>45</v>
      </c>
      <c r="D187" s="60">
        <v>79.156146478115616</v>
      </c>
      <c r="E187" s="36">
        <v>293.07</v>
      </c>
    </row>
    <row r="188" spans="1:6" s="10" customFormat="1" ht="15" customHeight="1" x14ac:dyDescent="0.25">
      <c r="A188" s="11"/>
      <c r="B188" s="59">
        <v>186</v>
      </c>
      <c r="C188" s="17" t="s">
        <v>46</v>
      </c>
      <c r="D188" s="60">
        <v>55.573853521884374</v>
      </c>
      <c r="E188" s="36">
        <v>211.66</v>
      </c>
    </row>
    <row r="189" spans="1:6" s="10" customFormat="1" ht="15" customHeight="1" x14ac:dyDescent="0.25">
      <c r="A189" s="11">
        <v>1</v>
      </c>
      <c r="B189" s="59">
        <v>187</v>
      </c>
      <c r="C189" s="17" t="s">
        <v>47</v>
      </c>
      <c r="D189" s="60">
        <v>90.316520200000014</v>
      </c>
      <c r="E189" s="36">
        <v>330.44157999999993</v>
      </c>
    </row>
    <row r="190" spans="1:6" s="10" customFormat="1" ht="15" customHeight="1" x14ac:dyDescent="0.25">
      <c r="A190" s="11">
        <v>1</v>
      </c>
      <c r="B190" s="59">
        <v>188</v>
      </c>
      <c r="C190" s="17" t="s">
        <v>67</v>
      </c>
      <c r="D190" s="60">
        <v>27.840700173526695</v>
      </c>
      <c r="E190" s="36">
        <v>89.868510638297863</v>
      </c>
      <c r="F190" s="35"/>
    </row>
    <row r="191" spans="1:6" s="10" customFormat="1" ht="15" customHeight="1" x14ac:dyDescent="0.25">
      <c r="A191" s="11"/>
      <c r="B191" s="59">
        <v>189</v>
      </c>
      <c r="C191" s="17" t="s">
        <v>68</v>
      </c>
      <c r="D191" s="60">
        <v>27.029299826473299</v>
      </c>
      <c r="E191" s="36">
        <v>75.771489361702123</v>
      </c>
    </row>
    <row r="192" spans="1:6" s="10" customFormat="1" ht="15" customHeight="1" x14ac:dyDescent="0.25">
      <c r="A192" s="11"/>
      <c r="B192" s="59">
        <v>190</v>
      </c>
      <c r="C192" s="17" t="s">
        <v>48</v>
      </c>
      <c r="D192" s="60">
        <v>45.452522214924301</v>
      </c>
      <c r="E192" s="36">
        <v>150.43999999999994</v>
      </c>
    </row>
    <row r="193" spans="1:7" s="10" customFormat="1" ht="15" customHeight="1" x14ac:dyDescent="0.25">
      <c r="A193" s="11"/>
      <c r="B193" s="59">
        <v>191</v>
      </c>
      <c r="C193" s="17" t="s">
        <v>109</v>
      </c>
      <c r="D193" s="60">
        <v>59.547477785075692</v>
      </c>
      <c r="E193" s="11"/>
    </row>
    <row r="194" spans="1:7" s="10" customFormat="1" ht="15" customHeight="1" x14ac:dyDescent="0.25">
      <c r="A194" s="11"/>
      <c r="B194" s="59">
        <v>192</v>
      </c>
      <c r="C194" s="17" t="s">
        <v>209</v>
      </c>
      <c r="D194" s="60">
        <v>103.66499999999999</v>
      </c>
      <c r="E194" s="11"/>
    </row>
    <row r="195" spans="1:7" s="10" customFormat="1" ht="15" customHeight="1" x14ac:dyDescent="0.25">
      <c r="A195" s="11"/>
      <c r="B195" s="59">
        <v>193</v>
      </c>
      <c r="C195" s="17" t="s">
        <v>110</v>
      </c>
      <c r="D195" s="60">
        <v>60.944265021424087</v>
      </c>
      <c r="E195" s="11"/>
      <c r="F195" s="35"/>
    </row>
    <row r="196" spans="1:7" s="10" customFormat="1" ht="15" customHeight="1" x14ac:dyDescent="0.25">
      <c r="A196" s="11"/>
      <c r="B196" s="59">
        <v>194</v>
      </c>
      <c r="C196" s="17" t="s">
        <v>111</v>
      </c>
      <c r="D196" s="60">
        <v>38.825734978575902</v>
      </c>
      <c r="E196" s="11"/>
    </row>
    <row r="197" spans="1:7" s="10" customFormat="1" ht="15" customHeight="1" x14ac:dyDescent="0.25">
      <c r="A197" s="11"/>
      <c r="B197" s="59">
        <v>195</v>
      </c>
      <c r="C197" s="17" t="s">
        <v>210</v>
      </c>
      <c r="D197" s="60">
        <v>122.632422066</v>
      </c>
      <c r="E197" s="11"/>
    </row>
    <row r="198" spans="1:7" s="10" customFormat="1" ht="15" customHeight="1" x14ac:dyDescent="0.25">
      <c r="A198" s="11">
        <v>1</v>
      </c>
      <c r="B198" s="59">
        <v>196</v>
      </c>
      <c r="C198" s="17" t="s">
        <v>49</v>
      </c>
      <c r="D198" s="60">
        <v>62.4</v>
      </c>
      <c r="E198" s="36">
        <v>254.54999999999995</v>
      </c>
    </row>
    <row r="199" spans="1:7" s="10" customFormat="1" ht="15" customHeight="1" x14ac:dyDescent="0.25">
      <c r="A199" s="11"/>
      <c r="B199" s="59">
        <v>197</v>
      </c>
      <c r="C199" s="17" t="s">
        <v>211</v>
      </c>
      <c r="D199" s="60">
        <v>73.84</v>
      </c>
      <c r="E199" s="11"/>
    </row>
    <row r="200" spans="1:7" s="10" customFormat="1" ht="15" customHeight="1" x14ac:dyDescent="0.25">
      <c r="A200" s="11">
        <v>1</v>
      </c>
      <c r="B200" s="59">
        <v>198</v>
      </c>
      <c r="C200" s="17" t="s">
        <v>50</v>
      </c>
      <c r="D200" s="60">
        <v>43.01</v>
      </c>
      <c r="E200" s="36">
        <v>155.26000000000002</v>
      </c>
    </row>
    <row r="201" spans="1:7" s="10" customFormat="1" ht="15" customHeight="1" x14ac:dyDescent="0.25">
      <c r="A201" s="11"/>
      <c r="B201" s="59">
        <v>199</v>
      </c>
      <c r="C201" s="17" t="s">
        <v>212</v>
      </c>
      <c r="D201" s="60">
        <v>96.69</v>
      </c>
      <c r="E201" s="11"/>
    </row>
    <row r="202" spans="1:7" s="10" customFormat="1" ht="15" customHeight="1" x14ac:dyDescent="0.25">
      <c r="A202" s="11"/>
      <c r="B202" s="59">
        <v>200</v>
      </c>
      <c r="C202" s="17" t="s">
        <v>213</v>
      </c>
      <c r="D202" s="60">
        <v>87.271999999999991</v>
      </c>
      <c r="E202" s="11"/>
    </row>
    <row r="203" spans="1:7" s="10" customFormat="1" ht="15" customHeight="1" x14ac:dyDescent="0.25">
      <c r="A203" s="11"/>
      <c r="B203" s="59">
        <v>201</v>
      </c>
      <c r="C203" s="17" t="s">
        <v>214</v>
      </c>
      <c r="D203" s="60">
        <v>77.793000000000021</v>
      </c>
      <c r="E203" s="11"/>
    </row>
    <row r="204" spans="1:7" s="10" customFormat="1" ht="15" customHeight="1" x14ac:dyDescent="0.25">
      <c r="A204" s="11"/>
      <c r="B204" s="59">
        <v>202</v>
      </c>
      <c r="C204" s="17" t="s">
        <v>112</v>
      </c>
      <c r="D204" s="60">
        <v>204.4397903206947</v>
      </c>
      <c r="E204" s="11"/>
    </row>
    <row r="205" spans="1:7" s="10" customFormat="1" ht="15" customHeight="1" x14ac:dyDescent="0.25">
      <c r="A205" s="11"/>
      <c r="B205" s="59">
        <v>203</v>
      </c>
      <c r="C205" s="17" t="s">
        <v>69</v>
      </c>
      <c r="D205" s="60">
        <v>4.775009679305307</v>
      </c>
      <c r="E205" s="36">
        <v>19.420000000000002</v>
      </c>
    </row>
    <row r="206" spans="1:7" s="10" customFormat="1" ht="15" customHeight="1" x14ac:dyDescent="0.25">
      <c r="A206" s="11"/>
      <c r="B206" s="59">
        <v>204</v>
      </c>
      <c r="C206" s="17" t="s">
        <v>215</v>
      </c>
      <c r="D206" s="60">
        <v>127.202</v>
      </c>
      <c r="E206" s="11"/>
    </row>
    <row r="207" spans="1:7" s="10" customFormat="1" ht="15" customHeight="1" x14ac:dyDescent="0.25">
      <c r="A207" s="11"/>
      <c r="B207" s="59">
        <v>205</v>
      </c>
      <c r="C207" s="17" t="s">
        <v>250</v>
      </c>
      <c r="D207" s="60">
        <v>98.323999999999998</v>
      </c>
      <c r="E207" s="11"/>
      <c r="G207" s="35"/>
    </row>
    <row r="208" spans="1:7" s="10" customFormat="1" ht="15" customHeight="1" x14ac:dyDescent="0.25">
      <c r="A208" s="11"/>
      <c r="B208" s="59">
        <v>206</v>
      </c>
      <c r="C208" s="17" t="s">
        <v>51</v>
      </c>
      <c r="D208" s="60">
        <v>53.597661312856971</v>
      </c>
      <c r="E208" s="36">
        <v>174.10000000000002</v>
      </c>
    </row>
    <row r="209" spans="1:8" s="10" customFormat="1" ht="15" customHeight="1" x14ac:dyDescent="0.25">
      <c r="A209" s="11"/>
      <c r="B209" s="59">
        <v>207</v>
      </c>
      <c r="C209" s="17" t="s">
        <v>113</v>
      </c>
      <c r="D209" s="60">
        <v>20.282338687143028</v>
      </c>
      <c r="E209" s="11"/>
    </row>
    <row r="210" spans="1:8" s="10" customFormat="1" ht="15" customHeight="1" x14ac:dyDescent="0.25">
      <c r="A210" s="11"/>
      <c r="B210" s="59">
        <v>208</v>
      </c>
      <c r="C210" s="17" t="s">
        <v>52</v>
      </c>
      <c r="D210" s="60">
        <f>177.69+151.91</f>
        <v>329.6</v>
      </c>
      <c r="E210" s="11">
        <f>580.99+594.1</f>
        <v>1175.0900000000001</v>
      </c>
    </row>
    <row r="211" spans="1:8" s="10" customFormat="1" ht="15" customHeight="1" x14ac:dyDescent="0.25">
      <c r="A211" s="11"/>
      <c r="B211" s="59">
        <v>209</v>
      </c>
      <c r="C211" s="17" t="s">
        <v>216</v>
      </c>
      <c r="D211" s="60">
        <v>42.677000000000007</v>
      </c>
      <c r="E211" s="11"/>
      <c r="G211" s="35"/>
      <c r="H211" s="35"/>
    </row>
    <row r="212" spans="1:8" s="10" customFormat="1" ht="15" customHeight="1" x14ac:dyDescent="0.25">
      <c r="A212" s="11"/>
      <c r="B212" s="59">
        <v>210</v>
      </c>
      <c r="C212" s="17" t="s">
        <v>257</v>
      </c>
      <c r="D212" s="60">
        <v>51.196149070737206</v>
      </c>
      <c r="E212" s="11"/>
      <c r="G212" s="35"/>
      <c r="H212" s="35"/>
    </row>
    <row r="213" spans="1:8" s="10" customFormat="1" ht="15" customHeight="1" x14ac:dyDescent="0.25">
      <c r="A213" s="11"/>
      <c r="B213" s="34">
        <v>211</v>
      </c>
      <c r="C213" s="17" t="s">
        <v>258</v>
      </c>
      <c r="D213" s="60">
        <v>69.732253048314476</v>
      </c>
      <c r="E213" s="11"/>
      <c r="G213" s="35"/>
      <c r="H213" s="35"/>
    </row>
    <row r="214" spans="1:8" s="10" customFormat="1" ht="15" customHeight="1" x14ac:dyDescent="0.25">
      <c r="A214" s="11"/>
      <c r="B214" s="34">
        <v>212</v>
      </c>
      <c r="C214" s="17" t="s">
        <v>217</v>
      </c>
      <c r="D214" s="60">
        <v>71.953000000000003</v>
      </c>
      <c r="E214" s="11"/>
    </row>
    <row r="215" spans="1:8" s="10" customFormat="1" ht="15" customHeight="1" x14ac:dyDescent="0.25">
      <c r="A215" s="11"/>
      <c r="B215" s="34">
        <v>213</v>
      </c>
      <c r="C215" s="17" t="s">
        <v>53</v>
      </c>
      <c r="D215" s="60">
        <v>115.12620000000001</v>
      </c>
      <c r="E215" s="36">
        <v>325.63000000000005</v>
      </c>
    </row>
    <row r="216" spans="1:8" s="10" customFormat="1" ht="15" customHeight="1" x14ac:dyDescent="0.25">
      <c r="A216" s="11"/>
      <c r="B216" s="34">
        <v>214</v>
      </c>
      <c r="C216" s="17" t="s">
        <v>218</v>
      </c>
      <c r="D216" s="60">
        <v>103.49800000000003</v>
      </c>
      <c r="E216" s="11"/>
    </row>
    <row r="217" spans="1:8" s="10" customFormat="1" ht="15" customHeight="1" x14ac:dyDescent="0.25">
      <c r="A217" s="11"/>
      <c r="B217" s="34">
        <v>215</v>
      </c>
      <c r="C217" s="17" t="s">
        <v>219</v>
      </c>
      <c r="D217" s="60">
        <v>96.073999999999998</v>
      </c>
      <c r="E217" s="11"/>
    </row>
    <row r="218" spans="1:8" s="10" customFormat="1" ht="15" customHeight="1" x14ac:dyDescent="0.25">
      <c r="A218" s="11"/>
      <c r="B218" s="34">
        <v>216</v>
      </c>
      <c r="C218" s="17" t="s">
        <v>89</v>
      </c>
      <c r="D218" s="60">
        <v>124.90233305643588</v>
      </c>
      <c r="E218" s="36">
        <v>132.89000000000001</v>
      </c>
    </row>
    <row r="219" spans="1:8" s="10" customFormat="1" ht="15" customHeight="1" x14ac:dyDescent="0.25">
      <c r="A219" s="11"/>
      <c r="B219" s="34">
        <v>217</v>
      </c>
      <c r="C219" s="17" t="s">
        <v>116</v>
      </c>
      <c r="D219" s="60">
        <v>111.36766694356412</v>
      </c>
      <c r="E219" s="11"/>
    </row>
    <row r="220" spans="1:8" s="10" customFormat="1" ht="15" customHeight="1" x14ac:dyDescent="0.25">
      <c r="A220" s="11"/>
      <c r="B220" s="34">
        <v>218</v>
      </c>
      <c r="C220" s="17" t="s">
        <v>220</v>
      </c>
      <c r="D220" s="60">
        <v>132.83000000000001</v>
      </c>
      <c r="E220" s="36"/>
    </row>
    <row r="221" spans="1:8" s="10" customFormat="1" ht="15" customHeight="1" x14ac:dyDescent="0.25">
      <c r="A221" s="11"/>
      <c r="B221" s="34">
        <v>219</v>
      </c>
      <c r="C221" s="17" t="s">
        <v>221</v>
      </c>
      <c r="D221" s="60">
        <v>76.185455000000005</v>
      </c>
      <c r="E221" s="11"/>
    </row>
    <row r="222" spans="1:8" s="10" customFormat="1" ht="15" customHeight="1" x14ac:dyDescent="0.25">
      <c r="A222" s="11"/>
      <c r="B222" s="34">
        <v>220</v>
      </c>
      <c r="C222" s="17" t="s">
        <v>222</v>
      </c>
      <c r="D222" s="60">
        <v>83.745430999999982</v>
      </c>
      <c r="E222" s="11"/>
    </row>
    <row r="223" spans="1:8" s="10" customFormat="1" ht="15" customHeight="1" x14ac:dyDescent="0.25">
      <c r="A223" s="11"/>
      <c r="B223" s="34">
        <v>221</v>
      </c>
      <c r="C223" s="17" t="s">
        <v>223</v>
      </c>
      <c r="D223" s="60">
        <v>69.216718000000014</v>
      </c>
      <c r="E223" s="11"/>
    </row>
    <row r="224" spans="1:8" s="10" customFormat="1" ht="15" customHeight="1" x14ac:dyDescent="0.25">
      <c r="A224" s="11"/>
      <c r="B224" s="34">
        <v>222</v>
      </c>
      <c r="C224" s="17" t="s">
        <v>114</v>
      </c>
      <c r="D224" s="60">
        <v>69.422753287547707</v>
      </c>
      <c r="E224" s="11"/>
    </row>
    <row r="225" spans="1:5" s="10" customFormat="1" ht="15" customHeight="1" x14ac:dyDescent="0.25">
      <c r="A225" s="11"/>
      <c r="B225" s="34">
        <v>223</v>
      </c>
      <c r="C225" s="17" t="s">
        <v>115</v>
      </c>
      <c r="D225" s="60">
        <v>69.557246712452297</v>
      </c>
      <c r="E225" s="11"/>
    </row>
    <row r="226" spans="1:5" s="10" customFormat="1" ht="15" customHeight="1" x14ac:dyDescent="0.25">
      <c r="A226" s="11"/>
      <c r="B226" s="34">
        <v>224</v>
      </c>
      <c r="C226" s="17" t="s">
        <v>259</v>
      </c>
      <c r="D226" s="60">
        <v>49.207914782445862</v>
      </c>
      <c r="E226" s="11"/>
    </row>
    <row r="227" spans="1:5" s="10" customFormat="1" ht="15" customHeight="1" x14ac:dyDescent="0.25">
      <c r="A227" s="11"/>
      <c r="B227" s="34">
        <v>225</v>
      </c>
      <c r="C227" s="17" t="s">
        <v>224</v>
      </c>
      <c r="D227" s="60">
        <v>179.99203999999997</v>
      </c>
      <c r="E227" s="11"/>
    </row>
    <row r="228" spans="1:5" s="10" customFormat="1" ht="15" customHeight="1" x14ac:dyDescent="0.25">
      <c r="A228" s="11"/>
      <c r="B228" s="34">
        <v>226</v>
      </c>
      <c r="C228" s="17" t="s">
        <v>54</v>
      </c>
      <c r="D228" s="74">
        <v>125.69750220246138</v>
      </c>
      <c r="E228" s="36">
        <v>417.86329499999999</v>
      </c>
    </row>
    <row r="229" spans="1:5" s="10" customFormat="1" x14ac:dyDescent="0.25">
      <c r="B229" s="34">
        <v>227</v>
      </c>
      <c r="C229" s="33" t="s">
        <v>262</v>
      </c>
      <c r="D229" s="69">
        <v>32.799999999999997</v>
      </c>
      <c r="E229" s="11">
        <v>112.9</v>
      </c>
    </row>
    <row r="230" spans="1:5" s="10" customFormat="1" x14ac:dyDescent="0.25">
      <c r="B230" s="34">
        <v>228</v>
      </c>
      <c r="C230" s="33" t="s">
        <v>263</v>
      </c>
      <c r="D230" s="75">
        <v>39.729999999999997</v>
      </c>
      <c r="E230" s="11">
        <v>245.37</v>
      </c>
    </row>
    <row r="231" spans="1:5" s="10" customFormat="1" x14ac:dyDescent="0.25">
      <c r="C231" s="15"/>
      <c r="D231" s="47"/>
    </row>
    <row r="232" spans="1:5" s="10" customFormat="1" x14ac:dyDescent="0.25">
      <c r="C232" s="15"/>
      <c r="D232" s="47"/>
    </row>
    <row r="233" spans="1:5" s="10" customFormat="1" x14ac:dyDescent="0.25">
      <c r="C233" s="15"/>
      <c r="D233" s="47"/>
    </row>
    <row r="234" spans="1:5" s="10" customFormat="1" x14ac:dyDescent="0.25">
      <c r="C234" s="15"/>
      <c r="D234" s="47"/>
    </row>
    <row r="235" spans="1:5" s="10" customFormat="1" x14ac:dyDescent="0.25">
      <c r="C235" s="15"/>
      <c r="D235" s="47"/>
    </row>
    <row r="236" spans="1:5" s="10" customFormat="1" x14ac:dyDescent="0.25">
      <c r="C236" s="15"/>
      <c r="D236" s="47"/>
    </row>
    <row r="237" spans="1:5" s="10" customFormat="1" x14ac:dyDescent="0.25">
      <c r="C237" s="15"/>
      <c r="D237" s="47"/>
    </row>
    <row r="238" spans="1:5" s="10" customFormat="1" x14ac:dyDescent="0.25">
      <c r="C238" s="15"/>
      <c r="D238" s="47"/>
    </row>
    <row r="239" spans="1:5" s="10" customFormat="1" x14ac:dyDescent="0.25">
      <c r="C239" s="15"/>
      <c r="D239" s="47"/>
    </row>
    <row r="240" spans="1:5" s="10" customFormat="1" x14ac:dyDescent="0.25">
      <c r="C240" s="15"/>
      <c r="D240" s="47"/>
    </row>
    <row r="241" spans="2:4" s="10" customFormat="1" x14ac:dyDescent="0.25">
      <c r="C241" s="15"/>
      <c r="D241" s="47"/>
    </row>
    <row r="242" spans="2:4" s="10" customFormat="1" x14ac:dyDescent="0.25">
      <c r="C242" s="15"/>
      <c r="D242" s="47"/>
    </row>
    <row r="243" spans="2:4" s="10" customFormat="1" x14ac:dyDescent="0.25">
      <c r="C243" s="15"/>
      <c r="D243" s="47"/>
    </row>
    <row r="244" spans="2:4" s="10" customFormat="1" x14ac:dyDescent="0.25">
      <c r="C244" s="15"/>
      <c r="D244" s="47"/>
    </row>
    <row r="245" spans="2:4" s="10" customFormat="1" x14ac:dyDescent="0.25">
      <c r="C245" s="15"/>
      <c r="D245" s="47"/>
    </row>
    <row r="246" spans="2:4" s="10" customFormat="1" x14ac:dyDescent="0.25">
      <c r="C246" s="15"/>
      <c r="D246" s="47"/>
    </row>
    <row r="247" spans="2:4" x14ac:dyDescent="0.25">
      <c r="B247" s="10"/>
      <c r="C247" s="15"/>
      <c r="D247" s="48"/>
    </row>
    <row r="248" spans="2:4" x14ac:dyDescent="0.25">
      <c r="B248" s="10"/>
      <c r="C248" s="15"/>
      <c r="D248" s="48"/>
    </row>
    <row r="249" spans="2:4" x14ac:dyDescent="0.25">
      <c r="B249" s="10"/>
      <c r="C249" s="15"/>
      <c r="D249" s="48"/>
    </row>
    <row r="250" spans="2:4" x14ac:dyDescent="0.25">
      <c r="B250" s="10"/>
      <c r="C250" s="15"/>
      <c r="D250" s="48"/>
    </row>
    <row r="251" spans="2:4" x14ac:dyDescent="0.25">
      <c r="B251" s="10"/>
      <c r="C251" s="15"/>
      <c r="D251" s="48"/>
    </row>
    <row r="252" spans="2:4" x14ac:dyDescent="0.25">
      <c r="B252" s="10"/>
      <c r="C252" s="15"/>
      <c r="D252" s="48"/>
    </row>
    <row r="253" spans="2:4" x14ac:dyDescent="0.25">
      <c r="B253" s="10"/>
      <c r="C253" s="15"/>
      <c r="D253" s="48"/>
    </row>
    <row r="254" spans="2:4" x14ac:dyDescent="0.25">
      <c r="B254" s="10"/>
      <c r="C254" s="15"/>
      <c r="D254" s="48"/>
    </row>
    <row r="255" spans="2:4" x14ac:dyDescent="0.25">
      <c r="B255" s="10"/>
      <c r="C255" s="15"/>
      <c r="D255" s="48"/>
    </row>
    <row r="256" spans="2:4" x14ac:dyDescent="0.25">
      <c r="B256" s="10"/>
      <c r="C256" s="15"/>
      <c r="D256" s="48"/>
    </row>
    <row r="257" spans="2:4" x14ac:dyDescent="0.25">
      <c r="B257" s="10"/>
      <c r="C257" s="15"/>
      <c r="D257" s="48"/>
    </row>
    <row r="258" spans="2:4" x14ac:dyDescent="0.25">
      <c r="B258" s="10"/>
      <c r="C258" s="15"/>
      <c r="D258" s="48"/>
    </row>
    <row r="259" spans="2:4" x14ac:dyDescent="0.25">
      <c r="B259" s="10"/>
      <c r="C259" s="15"/>
      <c r="D259" s="48"/>
    </row>
    <row r="260" spans="2:4" x14ac:dyDescent="0.25">
      <c r="B260" s="10"/>
      <c r="C260" s="15"/>
      <c r="D260" s="48"/>
    </row>
    <row r="261" spans="2:4" x14ac:dyDescent="0.25">
      <c r="B261" s="10"/>
      <c r="C261" s="15"/>
      <c r="D261" s="48"/>
    </row>
    <row r="262" spans="2:4" x14ac:dyDescent="0.25">
      <c r="B262" s="10"/>
      <c r="C262" s="15"/>
      <c r="D262" s="48"/>
    </row>
    <row r="263" spans="2:4" x14ac:dyDescent="0.25">
      <c r="B263" s="10"/>
      <c r="C263" s="15"/>
      <c r="D263" s="48"/>
    </row>
    <row r="264" spans="2:4" x14ac:dyDescent="0.25">
      <c r="B264" s="10"/>
      <c r="C264" s="15"/>
      <c r="D264" s="48"/>
    </row>
    <row r="265" spans="2:4" x14ac:dyDescent="0.25">
      <c r="B265" s="10"/>
      <c r="C265" s="15"/>
      <c r="D265" s="48"/>
    </row>
    <row r="266" spans="2:4" x14ac:dyDescent="0.25">
      <c r="B266" s="10"/>
      <c r="C266" s="15"/>
      <c r="D266" s="48"/>
    </row>
    <row r="267" spans="2:4" x14ac:dyDescent="0.25">
      <c r="B267" s="10"/>
      <c r="C267" s="15"/>
      <c r="D267" s="48"/>
    </row>
    <row r="268" spans="2:4" x14ac:dyDescent="0.25">
      <c r="B268" s="10"/>
      <c r="C268" s="15"/>
      <c r="D268" s="48"/>
    </row>
    <row r="269" spans="2:4" x14ac:dyDescent="0.25">
      <c r="B269" s="10"/>
      <c r="C269" s="15"/>
      <c r="D269" s="48"/>
    </row>
    <row r="270" spans="2:4" x14ac:dyDescent="0.25">
      <c r="B270" s="10"/>
      <c r="C270" s="15"/>
      <c r="D270" s="48"/>
    </row>
    <row r="271" spans="2:4" x14ac:dyDescent="0.25">
      <c r="B271" s="10"/>
      <c r="C271" s="15"/>
      <c r="D271" s="48"/>
    </row>
    <row r="272" spans="2:4" x14ac:dyDescent="0.25">
      <c r="B272" s="10"/>
      <c r="C272" s="15"/>
      <c r="D272" s="48"/>
    </row>
  </sheetData>
  <mergeCells count="1">
    <mergeCell ref="B1: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3"/>
  <sheetViews>
    <sheetView workbookViewId="0">
      <pane ySplit="3" topLeftCell="A60" activePane="bottomLeft" state="frozen"/>
      <selection pane="bottomLeft" activeCell="K64" sqref="K64"/>
    </sheetView>
  </sheetViews>
  <sheetFormatPr defaultRowHeight="15" x14ac:dyDescent="0.25"/>
  <cols>
    <col min="1" max="1" width="34.5703125" customWidth="1"/>
    <col min="2" max="2" width="9.28515625" style="50" customWidth="1"/>
    <col min="3" max="3" width="11.7109375" customWidth="1"/>
    <col min="4" max="4" width="14" style="54" customWidth="1"/>
    <col min="5" max="5" width="12.7109375" customWidth="1"/>
    <col min="6" max="7" width="9.85546875" customWidth="1"/>
    <col min="8" max="9" width="12.140625" customWidth="1"/>
    <col min="10" max="10" width="8.28515625" customWidth="1"/>
    <col min="11" max="11" width="8.28515625" style="56" customWidth="1"/>
    <col min="12" max="13" width="8.28515625" customWidth="1"/>
    <col min="14" max="14" width="13.140625" customWidth="1"/>
    <col min="15" max="15" width="13.85546875" customWidth="1"/>
    <col min="16" max="16" width="15.28515625" customWidth="1"/>
  </cols>
  <sheetData>
    <row r="1" spans="1:16" x14ac:dyDescent="0.25">
      <c r="B1" s="78" t="s">
        <v>230</v>
      </c>
      <c r="C1" s="78"/>
    </row>
    <row r="2" spans="1:16" x14ac:dyDescent="0.25">
      <c r="A2" s="77" t="s">
        <v>228</v>
      </c>
      <c r="B2" s="77" t="s">
        <v>247</v>
      </c>
      <c r="C2" s="77" t="s">
        <v>231</v>
      </c>
      <c r="D2" s="84" t="s">
        <v>246</v>
      </c>
      <c r="E2" s="77" t="s">
        <v>232</v>
      </c>
      <c r="F2" s="77" t="s">
        <v>233</v>
      </c>
      <c r="G2" s="77" t="s">
        <v>237</v>
      </c>
      <c r="H2" s="77" t="s">
        <v>234</v>
      </c>
      <c r="I2" s="82" t="s">
        <v>238</v>
      </c>
      <c r="J2" s="81" t="s">
        <v>242</v>
      </c>
      <c r="K2" s="81"/>
      <c r="L2" s="81" t="s">
        <v>239</v>
      </c>
      <c r="M2" s="81"/>
      <c r="N2" s="87" t="s">
        <v>248</v>
      </c>
      <c r="O2" s="88"/>
      <c r="P2" s="86" t="s">
        <v>245</v>
      </c>
    </row>
    <row r="3" spans="1:16" s="42" customFormat="1" ht="60" x14ac:dyDescent="0.25">
      <c r="A3" s="77"/>
      <c r="B3" s="77"/>
      <c r="C3" s="77"/>
      <c r="D3" s="84"/>
      <c r="E3" s="77"/>
      <c r="F3" s="77"/>
      <c r="G3" s="77"/>
      <c r="H3" s="77"/>
      <c r="I3" s="83"/>
      <c r="J3" s="45" t="s">
        <v>235</v>
      </c>
      <c r="K3" s="57" t="s">
        <v>236</v>
      </c>
      <c r="L3" s="45" t="s">
        <v>240</v>
      </c>
      <c r="M3" s="45" t="s">
        <v>241</v>
      </c>
      <c r="N3" s="45" t="s">
        <v>243</v>
      </c>
      <c r="O3" s="45" t="s">
        <v>244</v>
      </c>
      <c r="P3" s="86"/>
    </row>
    <row r="4" spans="1:16" x14ac:dyDescent="0.25">
      <c r="A4" s="39" t="s">
        <v>146</v>
      </c>
      <c r="B4" s="49"/>
      <c r="C4" s="44"/>
      <c r="D4" s="55">
        <v>68.204999999999998</v>
      </c>
      <c r="E4" s="20">
        <v>2512.12</v>
      </c>
      <c r="F4" s="20">
        <v>0</v>
      </c>
      <c r="G4" s="20">
        <f>E4+F4</f>
        <v>2512.12</v>
      </c>
      <c r="H4" s="20">
        <v>312.39999999999998</v>
      </c>
      <c r="I4" s="20">
        <v>0</v>
      </c>
      <c r="J4" s="46">
        <f>E4*(D4/(G4-I4+H4))</f>
        <v>60.661331695296894</v>
      </c>
      <c r="K4" s="58">
        <f>F4*(D4/(G4-I4+H4))</f>
        <v>0</v>
      </c>
      <c r="L4" s="46">
        <f>E4*(D4-J4-K4)/G4</f>
        <v>7.5436683047031039</v>
      </c>
      <c r="M4" s="46">
        <f>F4*(D4-J4-K4)/G4</f>
        <v>0</v>
      </c>
      <c r="N4" s="46">
        <f>J4+L4</f>
        <v>68.204999999999998</v>
      </c>
      <c r="O4" s="46">
        <f>K4+M4</f>
        <v>0</v>
      </c>
      <c r="P4" s="20">
        <f>D4-(N4+O4)</f>
        <v>0</v>
      </c>
    </row>
    <row r="5" spans="1:16" x14ac:dyDescent="0.25">
      <c r="A5" s="39" t="s">
        <v>147</v>
      </c>
      <c r="B5" s="49"/>
      <c r="C5" s="44"/>
      <c r="D5" s="55">
        <v>106.789402</v>
      </c>
      <c r="E5" s="20">
        <v>4161.24</v>
      </c>
      <c r="F5" s="20">
        <v>0</v>
      </c>
      <c r="G5" s="20">
        <f t="shared" ref="G5:G73" si="0">E5+F5</f>
        <v>4161.24</v>
      </c>
      <c r="H5" s="20">
        <v>504.4</v>
      </c>
      <c r="I5" s="20">
        <v>0</v>
      </c>
      <c r="J5" s="46">
        <f t="shared" ref="J5:J73" si="1">E5*(D5/(G5-I5+H5))</f>
        <v>95.244453317975669</v>
      </c>
      <c r="K5" s="58">
        <f t="shared" ref="K5:K73" si="2">F5*(D5/(G5-I5+H5))</f>
        <v>0</v>
      </c>
      <c r="L5" s="46">
        <f t="shared" ref="L5:L73" si="3">E5*(D5-J5-K5)/G5</f>
        <v>11.544948682024327</v>
      </c>
      <c r="M5" s="46">
        <f t="shared" ref="M5:M73" si="4">F5*(D5-J5-K5)/G5</f>
        <v>0</v>
      </c>
      <c r="N5" s="46">
        <f t="shared" ref="N5:N73" si="5">J5+L5</f>
        <v>106.789402</v>
      </c>
      <c r="O5" s="46">
        <f t="shared" ref="O5:O73" si="6">K5+M5</f>
        <v>0</v>
      </c>
      <c r="P5" s="20">
        <f t="shared" ref="P5:P73" si="7">D5-(N5+O5)</f>
        <v>0</v>
      </c>
    </row>
    <row r="6" spans="1:16" x14ac:dyDescent="0.25">
      <c r="A6" s="39" t="s">
        <v>148</v>
      </c>
      <c r="B6" s="49"/>
      <c r="C6" s="44"/>
      <c r="D6" s="55">
        <v>68.752082999999999</v>
      </c>
      <c r="E6" s="20">
        <v>2363.2800000000002</v>
      </c>
      <c r="F6" s="20">
        <v>0</v>
      </c>
      <c r="G6" s="20">
        <f t="shared" si="0"/>
        <v>2363.2800000000002</v>
      </c>
      <c r="H6" s="20">
        <v>356.1</v>
      </c>
      <c r="I6" s="20">
        <v>0</v>
      </c>
      <c r="J6" s="46">
        <f t="shared" si="1"/>
        <v>59.749068799594028</v>
      </c>
      <c r="K6" s="58">
        <f t="shared" si="2"/>
        <v>0</v>
      </c>
      <c r="L6" s="46">
        <f t="shared" si="3"/>
        <v>9.0030142004059712</v>
      </c>
      <c r="M6" s="46">
        <f t="shared" si="4"/>
        <v>0</v>
      </c>
      <c r="N6" s="46">
        <f t="shared" si="5"/>
        <v>68.752082999999999</v>
      </c>
      <c r="O6" s="46">
        <f t="shared" si="6"/>
        <v>0</v>
      </c>
      <c r="P6" s="20">
        <f t="shared" si="7"/>
        <v>0</v>
      </c>
    </row>
    <row r="7" spans="1:16" x14ac:dyDescent="0.25">
      <c r="A7" s="39" t="s">
        <v>149</v>
      </c>
      <c r="B7" s="49"/>
      <c r="C7" s="44"/>
      <c r="D7" s="55">
        <v>141.674117</v>
      </c>
      <c r="E7" s="20">
        <v>5606.76</v>
      </c>
      <c r="F7" s="20">
        <v>232.8</v>
      </c>
      <c r="G7" s="20">
        <f t="shared" si="0"/>
        <v>5839.56</v>
      </c>
      <c r="H7" s="20">
        <v>796.4</v>
      </c>
      <c r="I7" s="20">
        <v>0</v>
      </c>
      <c r="J7" s="46">
        <f t="shared" si="1"/>
        <v>119.7012598374493</v>
      </c>
      <c r="K7" s="58">
        <f t="shared" si="2"/>
        <v>4.9701526889251895</v>
      </c>
      <c r="L7" s="46">
        <f t="shared" si="3"/>
        <v>16.324874362887705</v>
      </c>
      <c r="M7" s="46">
        <f t="shared" si="4"/>
        <v>0.67783011073779831</v>
      </c>
      <c r="N7" s="46">
        <f t="shared" si="5"/>
        <v>136.026134200337</v>
      </c>
      <c r="O7" s="46">
        <f t="shared" si="6"/>
        <v>5.6479827996629881</v>
      </c>
      <c r="P7" s="20">
        <f t="shared" si="7"/>
        <v>0</v>
      </c>
    </row>
    <row r="8" spans="1:16" x14ac:dyDescent="0.25">
      <c r="A8" s="39" t="s">
        <v>150</v>
      </c>
      <c r="B8" s="49"/>
      <c r="C8" s="44"/>
      <c r="D8" s="55">
        <v>106.06756299999999</v>
      </c>
      <c r="E8" s="20">
        <v>4435.4799999999996</v>
      </c>
      <c r="F8" s="20">
        <v>0</v>
      </c>
      <c r="G8" s="20">
        <f t="shared" si="0"/>
        <v>4435.4799999999996</v>
      </c>
      <c r="H8" s="20">
        <v>430.9</v>
      </c>
      <c r="I8" s="20">
        <v>0</v>
      </c>
      <c r="J8" s="46">
        <f t="shared" si="1"/>
        <v>96.675671512549371</v>
      </c>
      <c r="K8" s="58">
        <f t="shared" si="2"/>
        <v>0</v>
      </c>
      <c r="L8" s="46">
        <f t="shared" si="3"/>
        <v>9.3918914874506214</v>
      </c>
      <c r="M8" s="46">
        <f t="shared" si="4"/>
        <v>0</v>
      </c>
      <c r="N8" s="46">
        <f t="shared" si="5"/>
        <v>106.06756299999999</v>
      </c>
      <c r="O8" s="46">
        <f t="shared" si="6"/>
        <v>0</v>
      </c>
      <c r="P8" s="20">
        <f t="shared" si="7"/>
        <v>0</v>
      </c>
    </row>
    <row r="9" spans="1:16" x14ac:dyDescent="0.25">
      <c r="A9" s="39" t="s">
        <v>151</v>
      </c>
      <c r="B9" s="49"/>
      <c r="C9" s="44"/>
      <c r="D9" s="55">
        <v>100.67668700000002</v>
      </c>
      <c r="E9" s="20">
        <v>4187.54</v>
      </c>
      <c r="F9" s="20">
        <v>0</v>
      </c>
      <c r="G9" s="20">
        <f t="shared" si="0"/>
        <v>4187.54</v>
      </c>
      <c r="H9" s="20">
        <v>400.2</v>
      </c>
      <c r="I9" s="20">
        <v>0</v>
      </c>
      <c r="J9" s="46">
        <f t="shared" si="1"/>
        <v>91.894408549739097</v>
      </c>
      <c r="K9" s="58">
        <f t="shared" si="2"/>
        <v>0</v>
      </c>
      <c r="L9" s="46">
        <f t="shared" si="3"/>
        <v>8.7822784502609181</v>
      </c>
      <c r="M9" s="46">
        <f t="shared" si="4"/>
        <v>0</v>
      </c>
      <c r="N9" s="46">
        <f t="shared" si="5"/>
        <v>100.67668700000002</v>
      </c>
      <c r="O9" s="46">
        <f t="shared" si="6"/>
        <v>0</v>
      </c>
      <c r="P9" s="20">
        <f t="shared" si="7"/>
        <v>0</v>
      </c>
    </row>
    <row r="10" spans="1:16" x14ac:dyDescent="0.25">
      <c r="A10" s="39" t="s">
        <v>152</v>
      </c>
      <c r="B10" s="49"/>
      <c r="C10" s="44"/>
      <c r="D10" s="55">
        <v>107.00901999999998</v>
      </c>
      <c r="E10" s="20">
        <v>4165.75</v>
      </c>
      <c r="F10" s="20">
        <v>0</v>
      </c>
      <c r="G10" s="20">
        <f t="shared" si="0"/>
        <v>4165.75</v>
      </c>
      <c r="H10" s="20">
        <v>483.2</v>
      </c>
      <c r="I10" s="20">
        <v>0</v>
      </c>
      <c r="J10" s="46">
        <f t="shared" si="1"/>
        <v>95.886775522429772</v>
      </c>
      <c r="K10" s="58">
        <f t="shared" si="2"/>
        <v>0</v>
      </c>
      <c r="L10" s="46">
        <f t="shared" si="3"/>
        <v>11.122244477570206</v>
      </c>
      <c r="M10" s="46">
        <f t="shared" si="4"/>
        <v>0</v>
      </c>
      <c r="N10" s="46">
        <f t="shared" si="5"/>
        <v>107.00901999999998</v>
      </c>
      <c r="O10" s="46">
        <f t="shared" si="6"/>
        <v>0</v>
      </c>
      <c r="P10" s="20">
        <f t="shared" si="7"/>
        <v>0</v>
      </c>
    </row>
    <row r="11" spans="1:16" x14ac:dyDescent="0.25">
      <c r="A11" s="39" t="s">
        <v>153</v>
      </c>
      <c r="B11" s="79">
        <v>163.44</v>
      </c>
      <c r="C11" s="44">
        <v>4665.4799999999996</v>
      </c>
      <c r="D11" s="55">
        <f>B11*C11/(C11+C12)</f>
        <v>100.76873027808574</v>
      </c>
      <c r="E11" s="20">
        <v>4197.28</v>
      </c>
      <c r="F11" s="20">
        <v>0</v>
      </c>
      <c r="G11" s="20">
        <f t="shared" si="0"/>
        <v>4197.28</v>
      </c>
      <c r="H11" s="20">
        <v>468.2</v>
      </c>
      <c r="I11" s="20">
        <v>0</v>
      </c>
      <c r="J11" s="46">
        <f t="shared" si="1"/>
        <v>90.656176046538349</v>
      </c>
      <c r="K11" s="58">
        <f t="shared" si="2"/>
        <v>0</v>
      </c>
      <c r="L11" s="46">
        <f t="shared" si="3"/>
        <v>10.112554231547392</v>
      </c>
      <c r="M11" s="46">
        <f t="shared" si="4"/>
        <v>0</v>
      </c>
      <c r="N11" s="46">
        <f t="shared" si="5"/>
        <v>100.76873027808574</v>
      </c>
      <c r="O11" s="46">
        <f t="shared" si="6"/>
        <v>0</v>
      </c>
      <c r="P11" s="20">
        <f t="shared" si="7"/>
        <v>0</v>
      </c>
    </row>
    <row r="12" spans="1:16" x14ac:dyDescent="0.25">
      <c r="A12" s="39" t="s">
        <v>154</v>
      </c>
      <c r="B12" s="80"/>
      <c r="C12" s="44">
        <v>2901.61</v>
      </c>
      <c r="D12" s="55">
        <f>B11*C12/(C11+C12)</f>
        <v>62.671269721914236</v>
      </c>
      <c r="E12" s="20">
        <v>2561.5100000000002</v>
      </c>
      <c r="F12" s="20">
        <v>0</v>
      </c>
      <c r="G12" s="20">
        <f t="shared" si="0"/>
        <v>2561.5100000000002</v>
      </c>
      <c r="H12" s="20">
        <v>340.1</v>
      </c>
      <c r="I12" s="20">
        <v>0</v>
      </c>
      <c r="J12" s="46">
        <f t="shared" si="1"/>
        <v>55.325520695538181</v>
      </c>
      <c r="K12" s="58">
        <f t="shared" si="2"/>
        <v>0</v>
      </c>
      <c r="L12" s="46">
        <f t="shared" si="3"/>
        <v>7.3457490263760548</v>
      </c>
      <c r="M12" s="46">
        <f t="shared" si="4"/>
        <v>0</v>
      </c>
      <c r="N12" s="46">
        <f t="shared" si="5"/>
        <v>62.671269721914236</v>
      </c>
      <c r="O12" s="46">
        <f t="shared" si="6"/>
        <v>0</v>
      </c>
      <c r="P12" s="20">
        <f t="shared" si="7"/>
        <v>0</v>
      </c>
    </row>
    <row r="13" spans="1:16" x14ac:dyDescent="0.25">
      <c r="A13" s="39" t="s">
        <v>155</v>
      </c>
      <c r="B13" s="79">
        <v>133.26</v>
      </c>
      <c r="C13" s="44">
        <v>3829.12</v>
      </c>
      <c r="D13" s="55">
        <f>B13*C13/(C13+C14)</f>
        <v>89.628034103962975</v>
      </c>
      <c r="E13" s="20">
        <v>3459.72</v>
      </c>
      <c r="F13" s="20">
        <v>0</v>
      </c>
      <c r="G13" s="20">
        <f t="shared" si="0"/>
        <v>3459.72</v>
      </c>
      <c r="H13" s="20">
        <v>369.4</v>
      </c>
      <c r="I13" s="20">
        <v>0</v>
      </c>
      <c r="J13" s="46">
        <f t="shared" si="1"/>
        <v>80.981505450380965</v>
      </c>
      <c r="K13" s="58">
        <f t="shared" si="2"/>
        <v>0</v>
      </c>
      <c r="L13" s="46">
        <f t="shared" si="3"/>
        <v>8.6465286535820098</v>
      </c>
      <c r="M13" s="46">
        <f t="shared" si="4"/>
        <v>0</v>
      </c>
      <c r="N13" s="46">
        <f t="shared" si="5"/>
        <v>89.628034103962975</v>
      </c>
      <c r="O13" s="46">
        <f t="shared" si="6"/>
        <v>0</v>
      </c>
      <c r="P13" s="20">
        <f t="shared" si="7"/>
        <v>0</v>
      </c>
    </row>
    <row r="14" spans="1:16" x14ac:dyDescent="0.25">
      <c r="A14" s="39" t="s">
        <v>156</v>
      </c>
      <c r="B14" s="80"/>
      <c r="C14" s="44">
        <v>1864.06</v>
      </c>
      <c r="D14" s="55">
        <f>B13*C14/(C13+C14)</f>
        <v>43.631965896037009</v>
      </c>
      <c r="E14" s="20">
        <v>1606.16</v>
      </c>
      <c r="F14" s="20">
        <v>0</v>
      </c>
      <c r="G14" s="20">
        <f t="shared" si="0"/>
        <v>1606.16</v>
      </c>
      <c r="H14" s="20">
        <v>257.89999999999998</v>
      </c>
      <c r="I14" s="20">
        <v>0</v>
      </c>
      <c r="J14" s="46">
        <f t="shared" si="1"/>
        <v>37.595312566966086</v>
      </c>
      <c r="K14" s="58">
        <f t="shared" si="2"/>
        <v>0</v>
      </c>
      <c r="L14" s="46">
        <f t="shared" si="3"/>
        <v>6.0366533290709228</v>
      </c>
      <c r="M14" s="46">
        <f t="shared" si="4"/>
        <v>0</v>
      </c>
      <c r="N14" s="46">
        <f t="shared" si="5"/>
        <v>43.631965896037009</v>
      </c>
      <c r="O14" s="46">
        <f t="shared" si="6"/>
        <v>0</v>
      </c>
      <c r="P14" s="20">
        <f t="shared" si="7"/>
        <v>0</v>
      </c>
    </row>
    <row r="15" spans="1:16" x14ac:dyDescent="0.25">
      <c r="A15" s="39" t="s">
        <v>157</v>
      </c>
      <c r="B15" s="49"/>
      <c r="C15" s="44"/>
      <c r="D15" s="55">
        <v>79.370463999999984</v>
      </c>
      <c r="E15" s="20">
        <v>3509.6</v>
      </c>
      <c r="F15" s="20">
        <v>0</v>
      </c>
      <c r="G15" s="20">
        <f t="shared" si="0"/>
        <v>3509.6</v>
      </c>
      <c r="H15" s="20">
        <v>396.1</v>
      </c>
      <c r="I15" s="20">
        <v>0</v>
      </c>
      <c r="J15" s="46">
        <f t="shared" si="1"/>
        <v>71.32103859856106</v>
      </c>
      <c r="K15" s="58">
        <f t="shared" si="2"/>
        <v>0</v>
      </c>
      <c r="L15" s="46">
        <f t="shared" si="3"/>
        <v>8.0494254014389242</v>
      </c>
      <c r="M15" s="46">
        <f t="shared" si="4"/>
        <v>0</v>
      </c>
      <c r="N15" s="46">
        <f t="shared" si="5"/>
        <v>79.370463999999984</v>
      </c>
      <c r="O15" s="46">
        <f t="shared" si="6"/>
        <v>0</v>
      </c>
      <c r="P15" s="20">
        <f t="shared" si="7"/>
        <v>0</v>
      </c>
    </row>
    <row r="16" spans="1:16" x14ac:dyDescent="0.25">
      <c r="A16" s="39" t="s">
        <v>158</v>
      </c>
      <c r="B16" s="49"/>
      <c r="C16" s="44"/>
      <c r="D16" s="55">
        <v>68.767488</v>
      </c>
      <c r="E16" s="20">
        <v>2572.0500000000002</v>
      </c>
      <c r="F16" s="20">
        <v>0</v>
      </c>
      <c r="G16" s="20">
        <f t="shared" si="0"/>
        <v>2572.0500000000002</v>
      </c>
      <c r="H16" s="20">
        <v>293.2</v>
      </c>
      <c r="I16" s="20">
        <v>0</v>
      </c>
      <c r="J16" s="46">
        <f t="shared" si="1"/>
        <v>61.730535733496211</v>
      </c>
      <c r="K16" s="58">
        <f t="shared" si="2"/>
        <v>0</v>
      </c>
      <c r="L16" s="46">
        <f t="shared" si="3"/>
        <v>7.0369522665037891</v>
      </c>
      <c r="M16" s="46">
        <f t="shared" si="4"/>
        <v>0</v>
      </c>
      <c r="N16" s="46">
        <f t="shared" si="5"/>
        <v>68.767488</v>
      </c>
      <c r="O16" s="46">
        <f t="shared" si="6"/>
        <v>0</v>
      </c>
      <c r="P16" s="20">
        <f t="shared" si="7"/>
        <v>0</v>
      </c>
    </row>
    <row r="17" spans="1:16" x14ac:dyDescent="0.25">
      <c r="A17" s="39" t="s">
        <v>123</v>
      </c>
      <c r="B17" s="49"/>
      <c r="C17" s="44"/>
      <c r="D17" s="55">
        <v>128.84</v>
      </c>
      <c r="E17" s="20">
        <v>4927.3500000000004</v>
      </c>
      <c r="F17" s="20">
        <v>0</v>
      </c>
      <c r="G17" s="20">
        <f t="shared" si="0"/>
        <v>4927.3500000000004</v>
      </c>
      <c r="H17" s="20">
        <v>937.7</v>
      </c>
      <c r="I17" s="20">
        <v>0</v>
      </c>
      <c r="J17" s="46">
        <f t="shared" si="1"/>
        <v>108.24115293134757</v>
      </c>
      <c r="K17" s="58">
        <f t="shared" si="2"/>
        <v>0</v>
      </c>
      <c r="L17" s="46">
        <f t="shared" si="3"/>
        <v>20.598847068652432</v>
      </c>
      <c r="M17" s="46">
        <f t="shared" si="4"/>
        <v>0</v>
      </c>
      <c r="N17" s="46">
        <f t="shared" si="5"/>
        <v>128.84</v>
      </c>
      <c r="O17" s="46">
        <f t="shared" si="6"/>
        <v>0</v>
      </c>
      <c r="P17" s="20">
        <f t="shared" si="7"/>
        <v>0</v>
      </c>
    </row>
    <row r="18" spans="1:16" x14ac:dyDescent="0.25">
      <c r="A18" s="39" t="s">
        <v>126</v>
      </c>
      <c r="B18" s="49"/>
      <c r="C18" s="44"/>
      <c r="D18" s="55">
        <v>137.26</v>
      </c>
      <c r="E18" s="20">
        <f>6063.02+18.7</f>
        <v>6081.72</v>
      </c>
      <c r="F18" s="20">
        <v>573.70000000000005</v>
      </c>
      <c r="G18" s="20">
        <f t="shared" si="0"/>
        <v>6655.42</v>
      </c>
      <c r="H18" s="20">
        <v>464.3</v>
      </c>
      <c r="I18" s="20">
        <v>0</v>
      </c>
      <c r="J18" s="46">
        <f t="shared" si="1"/>
        <v>117.2485557297197</v>
      </c>
      <c r="K18" s="58">
        <f t="shared" si="2"/>
        <v>11.060275123179</v>
      </c>
      <c r="L18" s="46">
        <f t="shared" si="3"/>
        <v>8.179574606156919</v>
      </c>
      <c r="M18" s="46">
        <f t="shared" si="4"/>
        <v>0.77159454094437507</v>
      </c>
      <c r="N18" s="46">
        <f t="shared" si="5"/>
        <v>125.42813033587662</v>
      </c>
      <c r="O18" s="46">
        <f t="shared" si="6"/>
        <v>11.831869664123376</v>
      </c>
      <c r="P18" s="20">
        <f t="shared" si="7"/>
        <v>0</v>
      </c>
    </row>
    <row r="19" spans="1:16" x14ac:dyDescent="0.25">
      <c r="A19" s="39" t="s">
        <v>127</v>
      </c>
      <c r="B19" s="49"/>
      <c r="C19" s="44"/>
      <c r="D19" s="55">
        <v>119.88</v>
      </c>
      <c r="E19" s="20">
        <f>4928.55+28.89</f>
        <v>4957.4400000000005</v>
      </c>
      <c r="F19" s="20">
        <v>0</v>
      </c>
      <c r="G19" s="20">
        <f t="shared" si="0"/>
        <v>4957.4400000000005</v>
      </c>
      <c r="H19" s="20">
        <v>1112.2</v>
      </c>
      <c r="I19" s="20">
        <v>0</v>
      </c>
      <c r="J19" s="46">
        <f t="shared" si="1"/>
        <v>97.913205264233142</v>
      </c>
      <c r="K19" s="58">
        <f t="shared" si="2"/>
        <v>0</v>
      </c>
      <c r="L19" s="46">
        <f t="shared" si="3"/>
        <v>21.966794735766854</v>
      </c>
      <c r="M19" s="46">
        <f t="shared" si="4"/>
        <v>0</v>
      </c>
      <c r="N19" s="46">
        <f t="shared" si="5"/>
        <v>119.88</v>
      </c>
      <c r="O19" s="46">
        <f t="shared" si="6"/>
        <v>0</v>
      </c>
      <c r="P19" s="20">
        <f t="shared" si="7"/>
        <v>0</v>
      </c>
    </row>
    <row r="20" spans="1:16" x14ac:dyDescent="0.25">
      <c r="A20" s="39" t="s">
        <v>1</v>
      </c>
      <c r="B20" s="79">
        <v>184.8</v>
      </c>
      <c r="C20" s="44">
        <v>5988.11</v>
      </c>
      <c r="D20" s="55">
        <f>C20*B20/(C20+C21)</f>
        <v>129.14159770612599</v>
      </c>
      <c r="E20" s="20">
        <v>4603.51</v>
      </c>
      <c r="F20" s="20">
        <v>798.9</v>
      </c>
      <c r="G20" s="20">
        <f t="shared" si="0"/>
        <v>5402.41</v>
      </c>
      <c r="H20" s="20">
        <v>585.70000000000005</v>
      </c>
      <c r="I20" s="20">
        <v>0</v>
      </c>
      <c r="J20" s="46">
        <f t="shared" si="1"/>
        <v>99.280847622393068</v>
      </c>
      <c r="K20" s="58">
        <f t="shared" si="2"/>
        <v>17.229346556329805</v>
      </c>
      <c r="L20" s="46">
        <f t="shared" si="3"/>
        <v>10.763491192344812</v>
      </c>
      <c r="M20" s="46">
        <f t="shared" si="4"/>
        <v>1.8679123350583078</v>
      </c>
      <c r="N20" s="46">
        <f t="shared" si="5"/>
        <v>110.04433881473788</v>
      </c>
      <c r="O20" s="46">
        <f t="shared" si="6"/>
        <v>19.097258891388112</v>
      </c>
      <c r="P20" s="20">
        <f t="shared" si="7"/>
        <v>0</v>
      </c>
    </row>
    <row r="21" spans="1:16" x14ac:dyDescent="0.25">
      <c r="A21" s="43" t="s">
        <v>229</v>
      </c>
      <c r="B21" s="80"/>
      <c r="C21" s="44">
        <v>2580.8000000000002</v>
      </c>
      <c r="D21" s="55">
        <f>C21*B20/(C20+C21)</f>
        <v>55.658402293874026</v>
      </c>
      <c r="E21" s="20"/>
      <c r="F21" s="20">
        <f>30.05/30</f>
        <v>1.0016666666666667</v>
      </c>
      <c r="G21" s="20">
        <f>F21*4</f>
        <v>4.0066666666666668</v>
      </c>
      <c r="H21" s="20">
        <f>30.05-G21</f>
        <v>26.043333333333333</v>
      </c>
      <c r="I21" s="20"/>
      <c r="J21" s="46"/>
      <c r="K21" s="58"/>
      <c r="L21" s="46"/>
      <c r="M21" s="46"/>
      <c r="N21" s="46"/>
      <c r="O21" s="46"/>
      <c r="P21" s="20"/>
    </row>
    <row r="22" spans="1:16" x14ac:dyDescent="0.25">
      <c r="A22" s="39" t="s">
        <v>142</v>
      </c>
      <c r="B22" s="49"/>
      <c r="C22" s="44"/>
      <c r="D22" s="55">
        <v>321.08939999999996</v>
      </c>
      <c r="E22" s="20">
        <v>12992.47</v>
      </c>
      <c r="F22" s="20">
        <v>3081.5</v>
      </c>
      <c r="G22" s="20">
        <f t="shared" si="0"/>
        <v>16073.97</v>
      </c>
      <c r="H22" s="20">
        <v>2214.8000000000002</v>
      </c>
      <c r="I22" s="20">
        <v>0</v>
      </c>
      <c r="J22" s="46">
        <f t="shared" si="1"/>
        <v>228.10415335848168</v>
      </c>
      <c r="K22" s="58">
        <f t="shared" si="2"/>
        <v>54.100794427399975</v>
      </c>
      <c r="L22" s="46">
        <f t="shared" si="3"/>
        <v>31.430012551868987</v>
      </c>
      <c r="M22" s="46">
        <f t="shared" si="4"/>
        <v>7.4544396622493103</v>
      </c>
      <c r="N22" s="46">
        <f t="shared" si="5"/>
        <v>259.53416591035068</v>
      </c>
      <c r="O22" s="46">
        <f t="shared" si="6"/>
        <v>61.555234089649289</v>
      </c>
      <c r="P22" s="20">
        <f t="shared" si="7"/>
        <v>0</v>
      </c>
    </row>
    <row r="23" spans="1:16" x14ac:dyDescent="0.25">
      <c r="A23" s="39" t="s">
        <v>131</v>
      </c>
      <c r="B23" s="79">
        <f>156.07+3.28+1.27</f>
        <v>160.62</v>
      </c>
      <c r="C23" s="44">
        <v>6442.47</v>
      </c>
      <c r="D23" s="55">
        <f>C23*B23/(C23+C24)</f>
        <v>108.76047034018998</v>
      </c>
      <c r="E23" s="20">
        <v>4639.87</v>
      </c>
      <c r="F23" s="20">
        <v>879.5</v>
      </c>
      <c r="G23" s="20">
        <f t="shared" si="0"/>
        <v>5519.37</v>
      </c>
      <c r="H23" s="20">
        <v>923.1</v>
      </c>
      <c r="I23" s="20">
        <v>0</v>
      </c>
      <c r="J23" s="46">
        <f t="shared" si="1"/>
        <v>78.329343173866121</v>
      </c>
      <c r="K23" s="58">
        <f t="shared" si="2"/>
        <v>14.847540409842358</v>
      </c>
      <c r="L23" s="46">
        <f t="shared" si="3"/>
        <v>13.100374985513895</v>
      </c>
      <c r="M23" s="46">
        <f t="shared" si="4"/>
        <v>2.4832117709676074</v>
      </c>
      <c r="N23" s="46">
        <f t="shared" si="5"/>
        <v>91.429718159380016</v>
      </c>
      <c r="O23" s="46">
        <f t="shared" si="6"/>
        <v>17.330752180809966</v>
      </c>
      <c r="P23" s="20">
        <f t="shared" si="7"/>
        <v>0</v>
      </c>
    </row>
    <row r="24" spans="1:16" x14ac:dyDescent="0.25">
      <c r="A24" s="39" t="s">
        <v>132</v>
      </c>
      <c r="B24" s="80"/>
      <c r="C24" s="44">
        <v>3071.92</v>
      </c>
      <c r="D24" s="55">
        <f>C24*B23/(C23+C24)</f>
        <v>51.859529659810036</v>
      </c>
      <c r="E24" s="20">
        <v>2088.62</v>
      </c>
      <c r="F24" s="20">
        <v>535.4</v>
      </c>
      <c r="G24" s="20">
        <f t="shared" si="0"/>
        <v>2624.02</v>
      </c>
      <c r="H24" s="20">
        <v>447.9</v>
      </c>
      <c r="I24" s="20">
        <v>0</v>
      </c>
      <c r="J24" s="46">
        <f t="shared" si="1"/>
        <v>35.259658727464398</v>
      </c>
      <c r="K24" s="58">
        <f t="shared" si="2"/>
        <v>9.0385140823531511</v>
      </c>
      <c r="L24" s="46">
        <f t="shared" si="3"/>
        <v>6.0185521238524506</v>
      </c>
      <c r="M24" s="46">
        <f t="shared" si="4"/>
        <v>1.5428047261400362</v>
      </c>
      <c r="N24" s="46">
        <f t="shared" si="5"/>
        <v>41.27821085131685</v>
      </c>
      <c r="O24" s="46">
        <f t="shared" si="6"/>
        <v>10.581318808493187</v>
      </c>
      <c r="P24" s="20">
        <f t="shared" si="7"/>
        <v>0</v>
      </c>
    </row>
    <row r="25" spans="1:16" x14ac:dyDescent="0.25">
      <c r="A25" s="39" t="s">
        <v>159</v>
      </c>
      <c r="B25" s="49"/>
      <c r="C25" s="44"/>
      <c r="D25" s="55">
        <v>138.27900000000002</v>
      </c>
      <c r="E25" s="20">
        <v>5049.12</v>
      </c>
      <c r="F25" s="20">
        <v>1411.3</v>
      </c>
      <c r="G25" s="20">
        <f t="shared" si="0"/>
        <v>6460.42</v>
      </c>
      <c r="H25" s="20">
        <v>1036.2</v>
      </c>
      <c r="I25" s="20">
        <v>0</v>
      </c>
      <c r="J25" s="46">
        <f t="shared" si="1"/>
        <v>93.133607476436069</v>
      </c>
      <c r="K25" s="58">
        <f t="shared" si="2"/>
        <v>26.032152183250592</v>
      </c>
      <c r="L25" s="46">
        <f t="shared" si="3"/>
        <v>14.937890116599696</v>
      </c>
      <c r="M25" s="46">
        <f t="shared" si="4"/>
        <v>4.175350223713667</v>
      </c>
      <c r="N25" s="46">
        <f t="shared" si="5"/>
        <v>108.07149759303576</v>
      </c>
      <c r="O25" s="46">
        <f t="shared" si="6"/>
        <v>30.207502406964259</v>
      </c>
      <c r="P25" s="20">
        <f t="shared" si="7"/>
        <v>0</v>
      </c>
    </row>
    <row r="26" spans="1:16" x14ac:dyDescent="0.25">
      <c r="A26" s="39" t="s">
        <v>2</v>
      </c>
      <c r="B26" s="49"/>
      <c r="C26" s="44"/>
      <c r="D26" s="55">
        <f>0.57+115.38</f>
        <v>115.94999999999999</v>
      </c>
      <c r="E26" s="20">
        <v>4483.08</v>
      </c>
      <c r="F26" s="20">
        <v>582.20000000000005</v>
      </c>
      <c r="G26" s="20">
        <f t="shared" si="0"/>
        <v>5065.28</v>
      </c>
      <c r="H26" s="20">
        <v>665.7</v>
      </c>
      <c r="I26" s="20">
        <v>0</v>
      </c>
      <c r="J26" s="46">
        <f t="shared" si="1"/>
        <v>90.702310250602864</v>
      </c>
      <c r="K26" s="58">
        <f t="shared" si="2"/>
        <v>11.779152954643012</v>
      </c>
      <c r="L26" s="46">
        <f t="shared" si="3"/>
        <v>11.920471905566183</v>
      </c>
      <c r="M26" s="46">
        <f t="shared" si="4"/>
        <v>1.5480648891879316</v>
      </c>
      <c r="N26" s="46">
        <f t="shared" si="5"/>
        <v>102.62278215616905</v>
      </c>
      <c r="O26" s="46">
        <f t="shared" si="6"/>
        <v>13.327217843830944</v>
      </c>
      <c r="P26" s="20">
        <f t="shared" si="7"/>
        <v>0</v>
      </c>
    </row>
    <row r="27" spans="1:16" x14ac:dyDescent="0.25">
      <c r="A27" s="39" t="s">
        <v>3</v>
      </c>
      <c r="B27" s="49"/>
      <c r="C27" s="44"/>
      <c r="D27" s="55">
        <v>78.75</v>
      </c>
      <c r="E27" s="20">
        <f>2277.41+43.06</f>
        <v>2320.4699999999998</v>
      </c>
      <c r="F27" s="20">
        <v>820.2</v>
      </c>
      <c r="G27" s="20">
        <f t="shared" si="0"/>
        <v>3140.67</v>
      </c>
      <c r="H27" s="20">
        <v>411</v>
      </c>
      <c r="I27" s="20">
        <v>0</v>
      </c>
      <c r="J27" s="46">
        <f t="shared" si="1"/>
        <v>51.451011073663928</v>
      </c>
      <c r="K27" s="58">
        <f t="shared" si="2"/>
        <v>18.186022350049413</v>
      </c>
      <c r="L27" s="46">
        <f t="shared" si="3"/>
        <v>6.7330746468988796</v>
      </c>
      <c r="M27" s="46">
        <f t="shared" si="4"/>
        <v>2.3798919293877798</v>
      </c>
      <c r="N27" s="46">
        <f t="shared" si="5"/>
        <v>58.184085720562805</v>
      </c>
      <c r="O27" s="46">
        <f t="shared" si="6"/>
        <v>20.565914279437195</v>
      </c>
      <c r="P27" s="20">
        <f t="shared" si="7"/>
        <v>0</v>
      </c>
    </row>
    <row r="28" spans="1:16" x14ac:dyDescent="0.25">
      <c r="A28" s="39" t="s">
        <v>4</v>
      </c>
      <c r="B28" s="79">
        <f>1.27+78.49</f>
        <v>79.759999999999991</v>
      </c>
      <c r="C28" s="44">
        <v>1593.62</v>
      </c>
      <c r="D28" s="55">
        <f>B28*C28/(C28+C29)</f>
        <v>36.016256332951748</v>
      </c>
      <c r="E28" s="20">
        <v>1297.1199999999999</v>
      </c>
      <c r="F28" s="20">
        <v>154.30000000000001</v>
      </c>
      <c r="G28" s="20">
        <f t="shared" si="0"/>
        <v>1451.4199999999998</v>
      </c>
      <c r="H28" s="20">
        <v>142</v>
      </c>
      <c r="I28" s="20">
        <v>0</v>
      </c>
      <c r="J28" s="46">
        <f t="shared" si="1"/>
        <v>29.318953204176157</v>
      </c>
      <c r="K28" s="58">
        <f t="shared" si="2"/>
        <v>3.4876607248399392</v>
      </c>
      <c r="L28" s="46">
        <f t="shared" si="3"/>
        <v>2.8684263376507229</v>
      </c>
      <c r="M28" s="46">
        <f t="shared" si="4"/>
        <v>0.34121606628492868</v>
      </c>
      <c r="N28" s="46">
        <f t="shared" si="5"/>
        <v>32.187379541826878</v>
      </c>
      <c r="O28" s="46">
        <f t="shared" si="6"/>
        <v>3.828876791124868</v>
      </c>
      <c r="P28" s="20">
        <f t="shared" si="7"/>
        <v>0</v>
      </c>
    </row>
    <row r="29" spans="1:16" x14ac:dyDescent="0.25">
      <c r="A29" s="39" t="s">
        <v>5</v>
      </c>
      <c r="B29" s="80"/>
      <c r="C29" s="44">
        <v>1935.54</v>
      </c>
      <c r="D29" s="55">
        <f>B28*C29/(C28+C29)</f>
        <v>43.743743667048243</v>
      </c>
      <c r="E29" s="20">
        <v>1288.8399999999999</v>
      </c>
      <c r="F29" s="20">
        <v>386.8</v>
      </c>
      <c r="G29" s="20">
        <f t="shared" si="0"/>
        <v>1675.6399999999999</v>
      </c>
      <c r="H29" s="20">
        <v>259.89999999999998</v>
      </c>
      <c r="I29" s="20">
        <v>0</v>
      </c>
      <c r="J29" s="46">
        <f t="shared" si="1"/>
        <v>29.128143354225926</v>
      </c>
      <c r="K29" s="58">
        <f t="shared" si="2"/>
        <v>8.7417878475331232</v>
      </c>
      <c r="L29" s="46">
        <f t="shared" si="3"/>
        <v>4.5179182030527585</v>
      </c>
      <c r="M29" s="46">
        <f t="shared" si="4"/>
        <v>1.3558942622364352</v>
      </c>
      <c r="N29" s="46">
        <f t="shared" si="5"/>
        <v>33.646061557278685</v>
      </c>
      <c r="O29" s="46">
        <f t="shared" si="6"/>
        <v>10.097682109769558</v>
      </c>
      <c r="P29" s="20">
        <f t="shared" si="7"/>
        <v>0</v>
      </c>
    </row>
    <row r="30" spans="1:16" x14ac:dyDescent="0.25">
      <c r="A30" s="39" t="s">
        <v>6</v>
      </c>
      <c r="B30" s="49"/>
      <c r="C30" s="44"/>
      <c r="D30" s="55">
        <f>2.32+83.0038</f>
        <v>85.323799999999991</v>
      </c>
      <c r="E30" s="20">
        <f>3052.16+57.64</f>
        <v>3109.7999999999997</v>
      </c>
      <c r="F30" s="20">
        <v>222</v>
      </c>
      <c r="G30" s="20">
        <f t="shared" si="0"/>
        <v>3331.7999999999997</v>
      </c>
      <c r="H30" s="20">
        <v>569.70000000000005</v>
      </c>
      <c r="I30" s="20">
        <v>0</v>
      </c>
      <c r="J30" s="46">
        <f t="shared" si="1"/>
        <v>68.009727858515944</v>
      </c>
      <c r="K30" s="58">
        <f t="shared" si="2"/>
        <v>4.8550259131103415</v>
      </c>
      <c r="L30" s="46">
        <f t="shared" si="3"/>
        <v>11.628891878563104</v>
      </c>
      <c r="M30" s="46">
        <f t="shared" si="4"/>
        <v>0.83015434981060165</v>
      </c>
      <c r="N30" s="46">
        <f t="shared" si="5"/>
        <v>79.638619737079054</v>
      </c>
      <c r="O30" s="46">
        <f t="shared" si="6"/>
        <v>5.6851802629209427</v>
      </c>
      <c r="P30" s="20">
        <f t="shared" si="7"/>
        <v>0</v>
      </c>
    </row>
    <row r="31" spans="1:16" x14ac:dyDescent="0.25">
      <c r="A31" s="39" t="s">
        <v>7</v>
      </c>
      <c r="B31" s="79">
        <v>234.84</v>
      </c>
      <c r="C31" s="44">
        <v>5093.67</v>
      </c>
      <c r="D31" s="55">
        <f>C31*B31/(C31+C32+C33+C34)</f>
        <v>99.39718931872649</v>
      </c>
      <c r="E31" s="20">
        <f>4330.49+93.54</f>
        <v>4424.03</v>
      </c>
      <c r="F31" s="20">
        <v>0</v>
      </c>
      <c r="G31" s="20">
        <f t="shared" si="0"/>
        <v>4424.03</v>
      </c>
      <c r="H31" s="20">
        <v>669.9</v>
      </c>
      <c r="I31" s="20">
        <v>0</v>
      </c>
      <c r="J31" s="46">
        <f t="shared" si="1"/>
        <v>86.325518305458772</v>
      </c>
      <c r="K31" s="58">
        <f t="shared" si="2"/>
        <v>0</v>
      </c>
      <c r="L31" s="46">
        <f t="shared" si="3"/>
        <v>13.071671013267718</v>
      </c>
      <c r="M31" s="46">
        <f t="shared" si="4"/>
        <v>0</v>
      </c>
      <c r="N31" s="46">
        <f t="shared" si="5"/>
        <v>99.39718931872649</v>
      </c>
      <c r="O31" s="46">
        <f t="shared" si="6"/>
        <v>0</v>
      </c>
      <c r="P31" s="20">
        <f t="shared" si="7"/>
        <v>0</v>
      </c>
    </row>
    <row r="32" spans="1:16" x14ac:dyDescent="0.25">
      <c r="A32" s="39" t="s">
        <v>59</v>
      </c>
      <c r="B32" s="85"/>
      <c r="C32" s="44">
        <v>1612.41</v>
      </c>
      <c r="D32" s="55">
        <f>B31*C32/(C31+C32+C33+C34)</f>
        <v>31.464351249572069</v>
      </c>
      <c r="E32" s="20">
        <f>1258.98+18.03</f>
        <v>1277.01</v>
      </c>
      <c r="F32" s="20">
        <v>175.4</v>
      </c>
      <c r="G32" s="20">
        <f t="shared" si="0"/>
        <v>1452.41</v>
      </c>
      <c r="H32" s="20">
        <v>160</v>
      </c>
      <c r="I32" s="20">
        <v>0</v>
      </c>
      <c r="J32" s="46">
        <f t="shared" si="1"/>
        <v>24.919400890106129</v>
      </c>
      <c r="K32" s="58">
        <f t="shared" si="2"/>
        <v>3.4227319411160564</v>
      </c>
      <c r="L32" s="46">
        <f t="shared" si="3"/>
        <v>2.7451643423117331</v>
      </c>
      <c r="M32" s="46">
        <f t="shared" si="4"/>
        <v>0.37705407603815011</v>
      </c>
      <c r="N32" s="46">
        <f t="shared" si="5"/>
        <v>27.664565232417861</v>
      </c>
      <c r="O32" s="46">
        <f t="shared" si="6"/>
        <v>3.7997860171542066</v>
      </c>
      <c r="P32" s="20">
        <f t="shared" si="7"/>
        <v>0</v>
      </c>
    </row>
    <row r="33" spans="1:16" x14ac:dyDescent="0.25">
      <c r="A33" s="39" t="s">
        <v>60</v>
      </c>
      <c r="B33" s="85"/>
      <c r="C33" s="44">
        <v>1498.3</v>
      </c>
      <c r="D33" s="55">
        <f>B31*C33/(C31+C32+C33+C34)</f>
        <v>29.237624101335161</v>
      </c>
      <c r="E33" s="20">
        <f>1198.6</f>
        <v>1198.5999999999999</v>
      </c>
      <c r="F33" s="20">
        <v>141.69999999999999</v>
      </c>
      <c r="G33" s="20">
        <f t="shared" si="0"/>
        <v>1340.3</v>
      </c>
      <c r="H33" s="20">
        <v>158</v>
      </c>
      <c r="I33" s="20">
        <v>0</v>
      </c>
      <c r="J33" s="46">
        <f t="shared" si="1"/>
        <v>23.389318726463539</v>
      </c>
      <c r="K33" s="58">
        <f t="shared" si="2"/>
        <v>2.7651146867511125</v>
      </c>
      <c r="L33" s="46">
        <f t="shared" si="3"/>
        <v>2.7572277540709109</v>
      </c>
      <c r="M33" s="46">
        <f t="shared" si="4"/>
        <v>0.32596293404959792</v>
      </c>
      <c r="N33" s="46">
        <f t="shared" si="5"/>
        <v>26.14654648053445</v>
      </c>
      <c r="O33" s="46">
        <f t="shared" si="6"/>
        <v>3.0910776208007102</v>
      </c>
      <c r="P33" s="20">
        <f t="shared" si="7"/>
        <v>0</v>
      </c>
    </row>
    <row r="34" spans="1:16" x14ac:dyDescent="0.25">
      <c r="A34" s="39" t="s">
        <v>8</v>
      </c>
      <c r="B34" s="80"/>
      <c r="C34" s="44">
        <v>3830.14</v>
      </c>
      <c r="D34" s="55">
        <f>B31*C34/(C31+C32+C33+C34)</f>
        <v>74.740835330366323</v>
      </c>
      <c r="E34" s="20">
        <f>3058.4+70.04</f>
        <v>3128.44</v>
      </c>
      <c r="F34" s="20">
        <v>249.5</v>
      </c>
      <c r="G34" s="20">
        <f t="shared" si="0"/>
        <v>3377.94</v>
      </c>
      <c r="H34" s="20">
        <v>452.2</v>
      </c>
      <c r="I34" s="20">
        <v>0</v>
      </c>
      <c r="J34" s="46">
        <f t="shared" si="1"/>
        <v>61.047956179390631</v>
      </c>
      <c r="K34" s="58">
        <f t="shared" si="2"/>
        <v>4.8687093461143451</v>
      </c>
      <c r="L34" s="46">
        <f t="shared" si="3"/>
        <v>8.1724026431258192</v>
      </c>
      <c r="M34" s="46">
        <f t="shared" si="4"/>
        <v>0.65176716173552696</v>
      </c>
      <c r="N34" s="46">
        <f t="shared" si="5"/>
        <v>69.220358822516445</v>
      </c>
      <c r="O34" s="46">
        <f t="shared" si="6"/>
        <v>5.5204765078498719</v>
      </c>
      <c r="P34" s="20">
        <f t="shared" si="7"/>
        <v>0</v>
      </c>
    </row>
    <row r="35" spans="1:16" x14ac:dyDescent="0.25">
      <c r="A35" s="39" t="s">
        <v>61</v>
      </c>
      <c r="B35" s="79">
        <v>72.59</v>
      </c>
      <c r="C35" s="44">
        <v>4014.72</v>
      </c>
      <c r="D35" s="55">
        <f>B35*C35/(C35+C36)</f>
        <v>59.92587619135746</v>
      </c>
      <c r="E35" s="20">
        <v>2955.72</v>
      </c>
      <c r="F35" s="20">
        <v>489</v>
      </c>
      <c r="G35" s="20">
        <f t="shared" si="0"/>
        <v>3444.72</v>
      </c>
      <c r="H35" s="20">
        <v>570</v>
      </c>
      <c r="I35" s="20">
        <v>0</v>
      </c>
      <c r="J35" s="46">
        <f t="shared" si="1"/>
        <v>44.118670984855498</v>
      </c>
      <c r="K35" s="58">
        <f t="shared" si="2"/>
        <v>7.299077758243115</v>
      </c>
      <c r="L35" s="46">
        <f t="shared" si="3"/>
        <v>7.3003444289717718</v>
      </c>
      <c r="M35" s="46">
        <f t="shared" si="4"/>
        <v>1.207783019287076</v>
      </c>
      <c r="N35" s="46">
        <f t="shared" si="5"/>
        <v>51.419015413827267</v>
      </c>
      <c r="O35" s="46">
        <f t="shared" si="6"/>
        <v>8.506860777530191</v>
      </c>
      <c r="P35" s="20">
        <f t="shared" si="7"/>
        <v>0</v>
      </c>
    </row>
    <row r="36" spans="1:16" x14ac:dyDescent="0.25">
      <c r="A36" s="39" t="s">
        <v>62</v>
      </c>
      <c r="B36" s="80"/>
      <c r="C36" s="44">
        <v>848.43</v>
      </c>
      <c r="D36" s="55">
        <f>B35*C36/(C35+C36)</f>
        <v>12.664123808642547</v>
      </c>
      <c r="E36" s="20">
        <v>633.23</v>
      </c>
      <c r="F36" s="20">
        <v>55.9</v>
      </c>
      <c r="G36" s="20">
        <f t="shared" si="0"/>
        <v>689.13</v>
      </c>
      <c r="H36" s="20">
        <v>159.30000000000001</v>
      </c>
      <c r="I36" s="20">
        <v>0</v>
      </c>
      <c r="J36" s="46">
        <f t="shared" si="1"/>
        <v>9.4519325334402602</v>
      </c>
      <c r="K36" s="58">
        <f t="shared" si="2"/>
        <v>0.83439355150468308</v>
      </c>
      <c r="L36" s="46">
        <f t="shared" si="3"/>
        <v>2.1849184516376203</v>
      </c>
      <c r="M36" s="46">
        <f t="shared" si="4"/>
        <v>0.19287927205998293</v>
      </c>
      <c r="N36" s="46">
        <f t="shared" si="5"/>
        <v>11.636850985077881</v>
      </c>
      <c r="O36" s="46">
        <f t="shared" si="6"/>
        <v>1.027272823564666</v>
      </c>
      <c r="P36" s="20">
        <f t="shared" si="7"/>
        <v>0</v>
      </c>
    </row>
    <row r="37" spans="1:16" x14ac:dyDescent="0.25">
      <c r="A37" s="39" t="s">
        <v>63</v>
      </c>
      <c r="B37" s="79">
        <v>195.84</v>
      </c>
      <c r="C37" s="44">
        <v>7808.64</v>
      </c>
      <c r="D37" s="55">
        <f>B37*C37/(C37+C38)</f>
        <v>152.57988039007921</v>
      </c>
      <c r="E37" s="20">
        <f>6418.38+41.26</f>
        <v>6459.64</v>
      </c>
      <c r="F37" s="20">
        <v>233</v>
      </c>
      <c r="G37" s="20">
        <f t="shared" si="0"/>
        <v>6692.64</v>
      </c>
      <c r="H37" s="20">
        <v>1116</v>
      </c>
      <c r="I37" s="20">
        <v>0</v>
      </c>
      <c r="J37" s="46">
        <f t="shared" si="1"/>
        <v>126.22058368204596</v>
      </c>
      <c r="K37" s="58">
        <f t="shared" si="2"/>
        <v>4.5527917961243514</v>
      </c>
      <c r="L37" s="46">
        <f t="shared" si="3"/>
        <v>21.047325328893116</v>
      </c>
      <c r="M37" s="46">
        <f t="shared" si="4"/>
        <v>0.75917958301578659</v>
      </c>
      <c r="N37" s="46">
        <f t="shared" si="5"/>
        <v>147.26790901093906</v>
      </c>
      <c r="O37" s="46">
        <f>K37+M37</f>
        <v>5.3119713791401377</v>
      </c>
      <c r="P37" s="20">
        <f t="shared" si="7"/>
        <v>0</v>
      </c>
    </row>
    <row r="38" spans="1:16" x14ac:dyDescent="0.25">
      <c r="A38" s="39" t="s">
        <v>64</v>
      </c>
      <c r="B38" s="80"/>
      <c r="C38" s="44">
        <v>2213.94</v>
      </c>
      <c r="D38" s="55">
        <f>B37*C38/(C37+C38)</f>
        <v>43.2601196099208</v>
      </c>
      <c r="E38" s="20">
        <v>1672.44</v>
      </c>
      <c r="F38" s="20">
        <v>245.7</v>
      </c>
      <c r="G38" s="20">
        <f t="shared" si="0"/>
        <v>1918.14</v>
      </c>
      <c r="H38" s="20">
        <v>295.8</v>
      </c>
      <c r="I38" s="20">
        <v>0</v>
      </c>
      <c r="J38" s="46">
        <f t="shared" si="1"/>
        <v>32.679275156696178</v>
      </c>
      <c r="K38" s="58">
        <f t="shared" si="2"/>
        <v>4.800948258831558</v>
      </c>
      <c r="L38" s="46">
        <f t="shared" si="3"/>
        <v>5.0395328763024247</v>
      </c>
      <c r="M38" s="46">
        <f t="shared" si="4"/>
        <v>0.7403633180906376</v>
      </c>
      <c r="N38" s="46">
        <f t="shared" si="5"/>
        <v>37.718808032998602</v>
      </c>
      <c r="O38" s="46">
        <f t="shared" si="6"/>
        <v>5.5413115769221957</v>
      </c>
      <c r="P38" s="20">
        <f t="shared" si="7"/>
        <v>0</v>
      </c>
    </row>
    <row r="39" spans="1:16" x14ac:dyDescent="0.25">
      <c r="A39" s="39" t="s">
        <v>160</v>
      </c>
      <c r="B39" s="49"/>
      <c r="C39" s="44"/>
      <c r="D39" s="55">
        <v>63.90544280000001</v>
      </c>
      <c r="E39" s="20">
        <v>2632.9</v>
      </c>
      <c r="F39" s="20">
        <v>70</v>
      </c>
      <c r="G39" s="20">
        <f t="shared" si="0"/>
        <v>2702.9</v>
      </c>
      <c r="H39" s="20">
        <v>496.9</v>
      </c>
      <c r="I39" s="20">
        <v>0</v>
      </c>
      <c r="J39" s="46">
        <f t="shared" si="1"/>
        <v>52.583486576698554</v>
      </c>
      <c r="K39" s="58">
        <f t="shared" si="2"/>
        <v>1.3980189374335898</v>
      </c>
      <c r="L39" s="46">
        <f t="shared" si="3"/>
        <v>9.6669260719825001</v>
      </c>
      <c r="M39" s="46">
        <f t="shared" si="4"/>
        <v>0.25701121388536408</v>
      </c>
      <c r="N39" s="46">
        <f t="shared" si="5"/>
        <v>62.250412648681056</v>
      </c>
      <c r="O39" s="46">
        <f t="shared" si="6"/>
        <v>1.6550301513189538</v>
      </c>
      <c r="P39" s="20">
        <f t="shared" si="7"/>
        <v>0</v>
      </c>
    </row>
    <row r="40" spans="1:16" x14ac:dyDescent="0.25">
      <c r="A40" s="39" t="s">
        <v>9</v>
      </c>
      <c r="B40" s="49"/>
      <c r="C40" s="44"/>
      <c r="D40" s="55">
        <v>129.42079999999999</v>
      </c>
      <c r="E40" s="20">
        <v>4781.4799999999996</v>
      </c>
      <c r="F40" s="20">
        <v>652.70000000000005</v>
      </c>
      <c r="G40" s="20">
        <f t="shared" si="0"/>
        <v>5434.1799999999994</v>
      </c>
      <c r="H40" s="20">
        <v>774.1</v>
      </c>
      <c r="I40" s="20">
        <v>0</v>
      </c>
      <c r="J40" s="46">
        <f t="shared" si="1"/>
        <v>99.677038855206263</v>
      </c>
      <c r="K40" s="58">
        <f t="shared" si="2"/>
        <v>13.606499088314315</v>
      </c>
      <c r="L40" s="46">
        <f t="shared" si="3"/>
        <v>14.199013609747038</v>
      </c>
      <c r="M40" s="46">
        <f t="shared" si="4"/>
        <v>1.9382484467323702</v>
      </c>
      <c r="N40" s="46">
        <f t="shared" si="5"/>
        <v>113.8760524649533</v>
      </c>
      <c r="O40" s="46">
        <f t="shared" si="6"/>
        <v>15.544747535046685</v>
      </c>
      <c r="P40" s="20">
        <f t="shared" si="7"/>
        <v>0</v>
      </c>
    </row>
    <row r="41" spans="1:16" x14ac:dyDescent="0.25">
      <c r="A41" s="64" t="s">
        <v>251</v>
      </c>
      <c r="B41" s="49"/>
      <c r="C41" s="44"/>
      <c r="D41" s="55">
        <v>54.617354508371797</v>
      </c>
      <c r="E41" s="20">
        <v>1979</v>
      </c>
      <c r="F41" s="20">
        <v>42.7</v>
      </c>
      <c r="G41" s="20">
        <f t="shared" si="0"/>
        <v>2021.7</v>
      </c>
      <c r="H41" s="20">
        <v>402.7</v>
      </c>
      <c r="I41" s="20">
        <v>0</v>
      </c>
      <c r="J41" s="46">
        <f t="shared" ref="J41" si="8">E41*(D41/(G41-I41+H41))</f>
        <v>44.583296721691049</v>
      </c>
      <c r="K41" s="58">
        <f t="shared" ref="K41" si="9">F41*(D41/(G41-I41+H41))</f>
        <v>0.96195390096827083</v>
      </c>
      <c r="L41" s="46">
        <f t="shared" ref="L41" si="10">E41*(D41-J41-K41)/G41</f>
        <v>8.8804934410768137</v>
      </c>
      <c r="M41" s="46">
        <f t="shared" ref="M41" si="11">F41*(D41-J41-K41)/G41</f>
        <v>0.19161044463566446</v>
      </c>
      <c r="N41" s="46">
        <f t="shared" ref="N41" si="12">J41+L41</f>
        <v>53.463790162767864</v>
      </c>
      <c r="O41" s="46">
        <f t="shared" ref="O41" si="13">K41+M41</f>
        <v>1.1535643456039353</v>
      </c>
      <c r="P41" s="20">
        <f t="shared" si="7"/>
        <v>0</v>
      </c>
    </row>
    <row r="42" spans="1:16" x14ac:dyDescent="0.25">
      <c r="A42" s="39" t="s">
        <v>161</v>
      </c>
      <c r="B42" s="49"/>
      <c r="C42" s="44"/>
      <c r="D42" s="55">
        <v>82.669999999999987</v>
      </c>
      <c r="E42" s="20">
        <v>2917.75</v>
      </c>
      <c r="F42" s="20">
        <v>908.9</v>
      </c>
      <c r="G42" s="20">
        <f t="shared" si="0"/>
        <v>3826.65</v>
      </c>
      <c r="H42" s="20">
        <v>322.89999999999998</v>
      </c>
      <c r="I42" s="20">
        <v>0</v>
      </c>
      <c r="J42" s="46">
        <f t="shared" si="1"/>
        <v>58.129289320528727</v>
      </c>
      <c r="K42" s="58">
        <f t="shared" si="2"/>
        <v>18.107689508500918</v>
      </c>
      <c r="L42" s="46">
        <f t="shared" si="3"/>
        <v>4.9050599144418001</v>
      </c>
      <c r="M42" s="46">
        <f t="shared" si="4"/>
        <v>1.5279612565285416</v>
      </c>
      <c r="N42" s="46">
        <f t="shared" si="5"/>
        <v>63.034349234970527</v>
      </c>
      <c r="O42" s="46">
        <f t="shared" si="6"/>
        <v>19.63565076502946</v>
      </c>
      <c r="P42" s="20">
        <f t="shared" si="7"/>
        <v>0</v>
      </c>
    </row>
    <row r="43" spans="1:16" x14ac:dyDescent="0.25">
      <c r="A43" s="39" t="s">
        <v>162</v>
      </c>
      <c r="B43" s="49"/>
      <c r="C43" s="44"/>
      <c r="D43" s="55">
        <v>105.43999999999998</v>
      </c>
      <c r="E43" s="20">
        <v>4751.7</v>
      </c>
      <c r="F43" s="20">
        <v>709.4</v>
      </c>
      <c r="G43" s="20">
        <f t="shared" si="0"/>
        <v>5461.0999999999995</v>
      </c>
      <c r="H43" s="20">
        <v>523.70000000000005</v>
      </c>
      <c r="I43" s="20">
        <v>0</v>
      </c>
      <c r="J43" s="46">
        <f t="shared" si="1"/>
        <v>83.715286726373478</v>
      </c>
      <c r="K43" s="58">
        <f t="shared" si="2"/>
        <v>12.498184734661143</v>
      </c>
      <c r="L43" s="46">
        <f t="shared" si="3"/>
        <v>8.0279972274087115</v>
      </c>
      <c r="M43" s="46">
        <f t="shared" si="4"/>
        <v>1.1985313115566514</v>
      </c>
      <c r="N43" s="46">
        <f t="shared" si="5"/>
        <v>91.743283953782196</v>
      </c>
      <c r="O43" s="46">
        <f t="shared" si="6"/>
        <v>13.696716046217794</v>
      </c>
      <c r="P43" s="20">
        <f t="shared" si="7"/>
        <v>0</v>
      </c>
    </row>
    <row r="44" spans="1:16" x14ac:dyDescent="0.25">
      <c r="A44" s="39" t="s">
        <v>10</v>
      </c>
      <c r="B44" s="49"/>
      <c r="C44" s="44"/>
      <c r="D44" s="55">
        <v>93.907951999999995</v>
      </c>
      <c r="E44" s="20">
        <v>4155.68</v>
      </c>
      <c r="F44" s="20">
        <v>0</v>
      </c>
      <c r="G44" s="20">
        <f t="shared" si="0"/>
        <v>4155.68</v>
      </c>
      <c r="H44" s="20">
        <v>501.8</v>
      </c>
      <c r="I44" s="20">
        <v>0</v>
      </c>
      <c r="J44" s="46">
        <f t="shared" si="1"/>
        <v>83.790246649982393</v>
      </c>
      <c r="K44" s="58">
        <f t="shared" si="2"/>
        <v>0</v>
      </c>
      <c r="L44" s="46">
        <f t="shared" si="3"/>
        <v>10.117705350017602</v>
      </c>
      <c r="M44" s="46">
        <f t="shared" si="4"/>
        <v>0</v>
      </c>
      <c r="N44" s="46">
        <f t="shared" si="5"/>
        <v>93.907951999999995</v>
      </c>
      <c r="O44" s="46">
        <f t="shared" si="6"/>
        <v>0</v>
      </c>
      <c r="P44" s="20">
        <f t="shared" si="7"/>
        <v>0</v>
      </c>
    </row>
    <row r="45" spans="1:16" x14ac:dyDescent="0.25">
      <c r="A45" s="39" t="s">
        <v>99</v>
      </c>
      <c r="B45" s="79">
        <v>175.43</v>
      </c>
      <c r="C45" s="44">
        <v>4466.4399999999996</v>
      </c>
      <c r="D45" s="55">
        <f>B45*C45/(C45+C46)</f>
        <v>92.674879263850116</v>
      </c>
      <c r="E45" s="20">
        <f>17.55+3749.49</f>
        <v>3767.04</v>
      </c>
      <c r="F45" s="20">
        <v>190.4</v>
      </c>
      <c r="G45" s="20">
        <f t="shared" si="0"/>
        <v>3957.44</v>
      </c>
      <c r="H45" s="20">
        <v>509</v>
      </c>
      <c r="I45" s="20">
        <v>0</v>
      </c>
      <c r="J45" s="46">
        <f t="shared" si="1"/>
        <v>78.162916591758517</v>
      </c>
      <c r="K45" s="58">
        <f t="shared" si="2"/>
        <v>3.9506401097601356</v>
      </c>
      <c r="L45" s="46">
        <f t="shared" si="3"/>
        <v>10.053197154020053</v>
      </c>
      <c r="M45" s="46">
        <f t="shared" si="4"/>
        <v>0.50812540831141106</v>
      </c>
      <c r="N45" s="46">
        <f t="shared" si="5"/>
        <v>88.216113745778571</v>
      </c>
      <c r="O45" s="46">
        <f t="shared" si="6"/>
        <v>4.4587655180715462</v>
      </c>
      <c r="P45" s="20">
        <f t="shared" si="7"/>
        <v>0</v>
      </c>
    </row>
    <row r="46" spans="1:16" x14ac:dyDescent="0.25">
      <c r="A46" s="39" t="s">
        <v>129</v>
      </c>
      <c r="B46" s="80"/>
      <c r="C46" s="44">
        <v>3988.36</v>
      </c>
      <c r="D46" s="55">
        <f>B45*C46/(C45+C46)</f>
        <v>82.755120736149905</v>
      </c>
      <c r="E46" s="20">
        <v>3440.96</v>
      </c>
      <c r="F46" s="20">
        <v>142.4</v>
      </c>
      <c r="G46" s="20">
        <f t="shared" si="0"/>
        <v>3583.36</v>
      </c>
      <c r="H46" s="20">
        <v>405</v>
      </c>
      <c r="I46" s="20">
        <v>0</v>
      </c>
      <c r="J46" s="46">
        <f t="shared" si="1"/>
        <v>71.397030420589516</v>
      </c>
      <c r="K46" s="58">
        <f t="shared" si="2"/>
        <v>2.9546804182239685</v>
      </c>
      <c r="L46" s="46">
        <f t="shared" si="3"/>
        <v>8.069464781751968</v>
      </c>
      <c r="M46" s="46">
        <f t="shared" si="4"/>
        <v>0.33394511558445322</v>
      </c>
      <c r="N46" s="46">
        <f t="shared" si="5"/>
        <v>79.466495202341491</v>
      </c>
      <c r="O46" s="46">
        <f t="shared" si="6"/>
        <v>3.2886255338084216</v>
      </c>
      <c r="P46" s="20">
        <f t="shared" si="7"/>
        <v>0</v>
      </c>
    </row>
    <row r="47" spans="1:16" x14ac:dyDescent="0.25">
      <c r="A47" s="39" t="s">
        <v>83</v>
      </c>
      <c r="B47" s="79">
        <v>130.25</v>
      </c>
      <c r="C47" s="44">
        <v>3571.49</v>
      </c>
      <c r="D47" s="55">
        <f>B47*C47/(C47+C48)</f>
        <v>64.005285197731411</v>
      </c>
      <c r="E47" s="20">
        <v>2764.34</v>
      </c>
      <c r="F47" s="20">
        <v>465.85</v>
      </c>
      <c r="G47" s="20">
        <f t="shared" si="0"/>
        <v>3230.19</v>
      </c>
      <c r="H47" s="20">
        <v>343</v>
      </c>
      <c r="I47" s="20">
        <v>0</v>
      </c>
      <c r="J47" s="46">
        <f t="shared" si="1"/>
        <v>49.516642015537059</v>
      </c>
      <c r="K47" s="58">
        <f t="shared" si="2"/>
        <v>8.3446058310258273</v>
      </c>
      <c r="L47" s="46">
        <f t="shared" si="3"/>
        <v>5.2579595043416019</v>
      </c>
      <c r="M47" s="46">
        <f t="shared" si="4"/>
        <v>0.88607784682692259</v>
      </c>
      <c r="N47" s="46">
        <f t="shared" si="5"/>
        <v>54.774601519878658</v>
      </c>
      <c r="O47" s="46">
        <f t="shared" si="6"/>
        <v>9.230683677852749</v>
      </c>
      <c r="P47" s="20">
        <f t="shared" si="7"/>
        <v>0</v>
      </c>
    </row>
    <row r="48" spans="1:16" x14ac:dyDescent="0.25">
      <c r="A48" s="39" t="s">
        <v>84</v>
      </c>
      <c r="B48" s="80"/>
      <c r="C48" s="44">
        <v>3696.45</v>
      </c>
      <c r="D48" s="55">
        <f>B47*C48/(C47+C48)</f>
        <v>66.244714802268589</v>
      </c>
      <c r="E48" s="20">
        <v>2802.99</v>
      </c>
      <c r="F48" s="20">
        <v>496.16</v>
      </c>
      <c r="G48" s="20">
        <f t="shared" si="0"/>
        <v>3299.1499999999996</v>
      </c>
      <c r="H48" s="20">
        <v>397.3</v>
      </c>
      <c r="I48" s="20">
        <v>0</v>
      </c>
      <c r="J48" s="46">
        <f t="shared" si="1"/>
        <v>50.232864814514144</v>
      </c>
      <c r="K48" s="58">
        <f t="shared" si="2"/>
        <v>8.8917685066194814</v>
      </c>
      <c r="L48" s="46">
        <f t="shared" si="3"/>
        <v>6.0492906326800826</v>
      </c>
      <c r="M48" s="46">
        <f t="shared" si="4"/>
        <v>1.070790848454882</v>
      </c>
      <c r="N48" s="46">
        <f t="shared" si="5"/>
        <v>56.282155447194228</v>
      </c>
      <c r="O48" s="46">
        <f t="shared" si="6"/>
        <v>9.9625593550743634</v>
      </c>
      <c r="P48" s="20">
        <f t="shared" si="7"/>
        <v>0</v>
      </c>
    </row>
    <row r="49" spans="1:16" x14ac:dyDescent="0.25">
      <c r="A49" s="39" t="s">
        <v>163</v>
      </c>
      <c r="B49" s="49"/>
      <c r="C49" s="44"/>
      <c r="D49" s="55">
        <v>66.77600000000001</v>
      </c>
      <c r="E49" s="20">
        <v>2674.61</v>
      </c>
      <c r="F49" s="20">
        <v>331.7</v>
      </c>
      <c r="G49" s="20">
        <f t="shared" si="0"/>
        <v>3006.31</v>
      </c>
      <c r="H49" s="20">
        <v>427.5</v>
      </c>
      <c r="I49" s="20">
        <v>0</v>
      </c>
      <c r="J49" s="46">
        <f t="shared" si="1"/>
        <v>52.012125702936402</v>
      </c>
      <c r="K49" s="58">
        <f t="shared" si="2"/>
        <v>6.4504440257323514</v>
      </c>
      <c r="L49" s="46">
        <f t="shared" si="3"/>
        <v>7.3961712990361255</v>
      </c>
      <c r="M49" s="46">
        <f t="shared" si="4"/>
        <v>0.91725897229513176</v>
      </c>
      <c r="N49" s="46">
        <f t="shared" si="5"/>
        <v>59.408297001972528</v>
      </c>
      <c r="O49" s="46">
        <f t="shared" si="6"/>
        <v>7.3677029980274833</v>
      </c>
      <c r="P49" s="20">
        <f t="shared" si="7"/>
        <v>0</v>
      </c>
    </row>
    <row r="50" spans="1:16" x14ac:dyDescent="0.25">
      <c r="A50" s="39" t="s">
        <v>164</v>
      </c>
      <c r="B50" s="49"/>
      <c r="C50" s="44"/>
      <c r="D50" s="55">
        <v>58.440455199999995</v>
      </c>
      <c r="E50" s="20">
        <v>2126.87</v>
      </c>
      <c r="F50" s="20">
        <v>568.1</v>
      </c>
      <c r="G50" s="20">
        <f t="shared" si="0"/>
        <v>2694.97</v>
      </c>
      <c r="H50" s="20">
        <v>330.7</v>
      </c>
      <c r="I50" s="20">
        <v>0</v>
      </c>
      <c r="J50" s="46">
        <f t="shared" si="1"/>
        <v>41.08024039344145</v>
      </c>
      <c r="K50" s="58">
        <f t="shared" si="2"/>
        <v>10.972783746780053</v>
      </c>
      <c r="L50" s="46">
        <f t="shared" si="3"/>
        <v>5.0409598244548484</v>
      </c>
      <c r="M50" s="46">
        <f t="shared" si="4"/>
        <v>1.3464712353236445</v>
      </c>
      <c r="N50" s="46">
        <f t="shared" si="5"/>
        <v>46.121200217896302</v>
      </c>
      <c r="O50" s="46">
        <f t="shared" si="6"/>
        <v>12.319254982103697</v>
      </c>
      <c r="P50" s="20">
        <f t="shared" si="7"/>
        <v>0</v>
      </c>
    </row>
    <row r="51" spans="1:16" x14ac:dyDescent="0.25">
      <c r="A51" s="39" t="s">
        <v>100</v>
      </c>
      <c r="B51" s="79">
        <v>84.21</v>
      </c>
      <c r="C51" s="44">
        <v>3732.42</v>
      </c>
      <c r="D51" s="55">
        <f>B51*C51/(C51+C52)</f>
        <v>66.946635214030564</v>
      </c>
      <c r="E51" s="20">
        <v>2822.92</v>
      </c>
      <c r="F51" s="20">
        <v>381.3</v>
      </c>
      <c r="G51" s="20">
        <f t="shared" si="0"/>
        <v>3204.2200000000003</v>
      </c>
      <c r="H51" s="20">
        <v>528.20000000000005</v>
      </c>
      <c r="I51" s="20">
        <v>0</v>
      </c>
      <c r="J51" s="46">
        <f t="shared" si="1"/>
        <v>50.633368023531958</v>
      </c>
      <c r="K51" s="58">
        <f t="shared" si="2"/>
        <v>6.8391960195020527</v>
      </c>
      <c r="L51" s="46">
        <f t="shared" si="3"/>
        <v>8.3466631473586688</v>
      </c>
      <c r="M51" s="46">
        <f t="shared" si="4"/>
        <v>1.1274080236378856</v>
      </c>
      <c r="N51" s="46">
        <f t="shared" si="5"/>
        <v>58.980031170890626</v>
      </c>
      <c r="O51" s="46">
        <f t="shared" si="6"/>
        <v>7.9666040431399381</v>
      </c>
      <c r="P51" s="20">
        <f t="shared" si="7"/>
        <v>0</v>
      </c>
    </row>
    <row r="52" spans="1:16" x14ac:dyDescent="0.25">
      <c r="A52" s="39" t="s">
        <v>128</v>
      </c>
      <c r="B52" s="80"/>
      <c r="C52" s="44">
        <v>962.47</v>
      </c>
      <c r="D52" s="55">
        <f>B51*C52/(C51+C52)</f>
        <v>17.263364785969426</v>
      </c>
      <c r="E52" s="20">
        <v>744.77</v>
      </c>
      <c r="F52" s="20">
        <v>126.7</v>
      </c>
      <c r="G52" s="20">
        <f t="shared" si="0"/>
        <v>871.47</v>
      </c>
      <c r="H52" s="20">
        <v>91</v>
      </c>
      <c r="I52" s="20">
        <v>0</v>
      </c>
      <c r="J52" s="46">
        <f t="shared" si="1"/>
        <v>13.358583843284933</v>
      </c>
      <c r="K52" s="58">
        <f t="shared" si="2"/>
        <v>2.2725573975109108</v>
      </c>
      <c r="L52" s="46">
        <f t="shared" si="3"/>
        <v>1.3949202264437428</v>
      </c>
      <c r="M52" s="46">
        <f t="shared" si="4"/>
        <v>0.23730331872983904</v>
      </c>
      <c r="N52" s="46">
        <f t="shared" si="5"/>
        <v>14.753504069728676</v>
      </c>
      <c r="O52" s="46">
        <f t="shared" si="6"/>
        <v>2.50986071624075</v>
      </c>
      <c r="P52" s="20">
        <f t="shared" si="7"/>
        <v>0</v>
      </c>
    </row>
    <row r="53" spans="1:16" x14ac:dyDescent="0.25">
      <c r="A53" s="39" t="s">
        <v>101</v>
      </c>
      <c r="B53" s="79">
        <v>199.31</v>
      </c>
      <c r="C53" s="44">
        <v>7899.9</v>
      </c>
      <c r="D53" s="55">
        <f>B53*C53/(C53+C54)</f>
        <v>165.95319552814723</v>
      </c>
      <c r="E53" s="20">
        <v>6221.7</v>
      </c>
      <c r="F53" s="20">
        <v>429.4</v>
      </c>
      <c r="G53" s="20">
        <f t="shared" si="0"/>
        <v>6651.0999999999995</v>
      </c>
      <c r="H53" s="20">
        <v>1248.8</v>
      </c>
      <c r="I53" s="20">
        <v>0</v>
      </c>
      <c r="J53" s="46">
        <f t="shared" si="1"/>
        <v>130.6992489294135</v>
      </c>
      <c r="K53" s="58">
        <f t="shared" si="2"/>
        <v>9.0204055949804953</v>
      </c>
      <c r="L53" s="46">
        <f t="shared" si="3"/>
        <v>24.539883938454018</v>
      </c>
      <c r="M53" s="46">
        <f t="shared" si="4"/>
        <v>1.6936570652992198</v>
      </c>
      <c r="N53" s="46">
        <f t="shared" si="5"/>
        <v>155.23913286786751</v>
      </c>
      <c r="O53" s="46">
        <f t="shared" si="6"/>
        <v>10.714062660279716</v>
      </c>
      <c r="P53" s="20">
        <f t="shared" si="7"/>
        <v>0</v>
      </c>
    </row>
    <row r="54" spans="1:16" x14ac:dyDescent="0.25">
      <c r="A54" s="39" t="s">
        <v>102</v>
      </c>
      <c r="B54" s="80"/>
      <c r="C54" s="44">
        <v>1587.89</v>
      </c>
      <c r="D54" s="55">
        <f>B53*C54/(C53+C54)</f>
        <v>33.356804471852776</v>
      </c>
      <c r="E54" s="20">
        <f>1364.19+60.7</f>
        <v>1424.89</v>
      </c>
      <c r="F54" s="20">
        <v>0</v>
      </c>
      <c r="G54" s="20">
        <f t="shared" si="0"/>
        <v>1424.89</v>
      </c>
      <c r="H54" s="20">
        <v>163</v>
      </c>
      <c r="I54" s="20">
        <v>0</v>
      </c>
      <c r="J54" s="46">
        <f t="shared" si="1"/>
        <v>29.932663549678061</v>
      </c>
      <c r="K54" s="58">
        <f t="shared" si="2"/>
        <v>0</v>
      </c>
      <c r="L54" s="46">
        <f t="shared" si="3"/>
        <v>3.4241409221747152</v>
      </c>
      <c r="M54" s="46">
        <f t="shared" si="4"/>
        <v>0</v>
      </c>
      <c r="N54" s="46">
        <f t="shared" si="5"/>
        <v>33.356804471852776</v>
      </c>
      <c r="O54" s="46">
        <f t="shared" si="6"/>
        <v>0</v>
      </c>
      <c r="P54" s="20">
        <f t="shared" si="7"/>
        <v>0</v>
      </c>
    </row>
    <row r="55" spans="1:16" x14ac:dyDescent="0.25">
      <c r="A55" s="39" t="s">
        <v>73</v>
      </c>
      <c r="B55" s="79">
        <v>46.69</v>
      </c>
      <c r="C55" s="44">
        <v>624.07000000000005</v>
      </c>
      <c r="D55" s="55">
        <f>B55*C55/(C55+C56)</f>
        <v>16.003376832369433</v>
      </c>
      <c r="E55" s="20">
        <v>443.27</v>
      </c>
      <c r="F55" s="20">
        <v>0</v>
      </c>
      <c r="G55" s="20">
        <f t="shared" si="0"/>
        <v>443.27</v>
      </c>
      <c r="H55" s="20">
        <v>180.8</v>
      </c>
      <c r="I55" s="20">
        <v>0</v>
      </c>
      <c r="J55" s="46">
        <f t="shared" si="1"/>
        <v>11.367021084949444</v>
      </c>
      <c r="K55" s="58">
        <f t="shared" si="2"/>
        <v>0</v>
      </c>
      <c r="L55" s="46">
        <f t="shared" si="3"/>
        <v>4.636355747419989</v>
      </c>
      <c r="M55" s="46">
        <f t="shared" si="4"/>
        <v>0</v>
      </c>
      <c r="N55" s="46">
        <f t="shared" si="5"/>
        <v>16.003376832369433</v>
      </c>
      <c r="O55" s="46">
        <f t="shared" si="6"/>
        <v>0</v>
      </c>
      <c r="P55" s="20">
        <f t="shared" si="7"/>
        <v>0</v>
      </c>
    </row>
    <row r="56" spans="1:16" x14ac:dyDescent="0.25">
      <c r="A56" s="39" t="s">
        <v>72</v>
      </c>
      <c r="B56" s="80"/>
      <c r="C56" s="44">
        <v>1196.6600000000001</v>
      </c>
      <c r="D56" s="55">
        <f>B55*C56/(C55+C56)</f>
        <v>30.686623167630565</v>
      </c>
      <c r="E56" s="20">
        <v>776.46</v>
      </c>
      <c r="F56" s="20">
        <v>177.4</v>
      </c>
      <c r="G56" s="20">
        <f t="shared" si="0"/>
        <v>953.86</v>
      </c>
      <c r="H56" s="20">
        <v>242.8</v>
      </c>
      <c r="I56" s="20">
        <v>0</v>
      </c>
      <c r="J56" s="46">
        <f t="shared" si="1"/>
        <v>19.911199024567068</v>
      </c>
      <c r="K56" s="58">
        <f t="shared" si="2"/>
        <v>4.5491676415503672</v>
      </c>
      <c r="L56" s="46">
        <f t="shared" si="3"/>
        <v>5.068290024914436</v>
      </c>
      <c r="M56" s="46">
        <f t="shared" si="4"/>
        <v>1.1579664765986928</v>
      </c>
      <c r="N56" s="46">
        <f t="shared" si="5"/>
        <v>24.979489049481504</v>
      </c>
      <c r="O56" s="46">
        <f t="shared" si="6"/>
        <v>5.7071341181490602</v>
      </c>
      <c r="P56" s="20">
        <f t="shared" si="7"/>
        <v>0</v>
      </c>
    </row>
    <row r="57" spans="1:16" x14ac:dyDescent="0.25">
      <c r="A57" s="39" t="s">
        <v>11</v>
      </c>
      <c r="B57" s="49"/>
      <c r="C57" s="44"/>
      <c r="D57" s="55">
        <v>126.69</v>
      </c>
      <c r="E57" s="20">
        <v>5981.87</v>
      </c>
      <c r="F57" s="20">
        <v>175</v>
      </c>
      <c r="G57" s="20">
        <f t="shared" si="0"/>
        <v>6156.87</v>
      </c>
      <c r="H57" s="20">
        <v>866.7</v>
      </c>
      <c r="I57" s="20">
        <v>0</v>
      </c>
      <c r="J57" s="46">
        <f t="shared" si="1"/>
        <v>107.89998680158381</v>
      </c>
      <c r="K57" s="58">
        <f t="shared" si="2"/>
        <v>3.1566212054553455</v>
      </c>
      <c r="L57" s="46">
        <f t="shared" si="3"/>
        <v>15.189035753708085</v>
      </c>
      <c r="M57" s="46">
        <f t="shared" si="4"/>
        <v>0.44435623925276119</v>
      </c>
      <c r="N57" s="46">
        <f t="shared" si="5"/>
        <v>123.08902255529189</v>
      </c>
      <c r="O57" s="46">
        <f t="shared" si="6"/>
        <v>3.6009774447081067</v>
      </c>
      <c r="P57" s="20">
        <f t="shared" si="7"/>
        <v>0</v>
      </c>
    </row>
    <row r="58" spans="1:16" x14ac:dyDescent="0.25">
      <c r="A58" s="39" t="s">
        <v>165</v>
      </c>
      <c r="B58" s="49"/>
      <c r="C58" s="44"/>
      <c r="D58" s="55">
        <v>60.222266299999994</v>
      </c>
      <c r="E58" s="20">
        <v>2431.41</v>
      </c>
      <c r="F58" s="20">
        <v>381.9</v>
      </c>
      <c r="G58" s="20">
        <f t="shared" si="0"/>
        <v>2813.31</v>
      </c>
      <c r="H58" s="20">
        <v>355.5</v>
      </c>
      <c r="I58" s="20">
        <v>0</v>
      </c>
      <c r="J58" s="46">
        <f t="shared" si="1"/>
        <v>46.208204500895597</v>
      </c>
      <c r="K58" s="58">
        <f t="shared" si="2"/>
        <v>7.2578928682912505</v>
      </c>
      <c r="L58" s="46">
        <f t="shared" si="3"/>
        <v>5.8390354067160715</v>
      </c>
      <c r="M58" s="46">
        <f t="shared" si="4"/>
        <v>0.91713352409707438</v>
      </c>
      <c r="N58" s="46">
        <f t="shared" si="5"/>
        <v>52.047239907611669</v>
      </c>
      <c r="O58" s="46">
        <f t="shared" si="6"/>
        <v>8.1750263923883253</v>
      </c>
      <c r="P58" s="20">
        <f t="shared" si="7"/>
        <v>0</v>
      </c>
    </row>
    <row r="59" spans="1:16" x14ac:dyDescent="0.25">
      <c r="A59" s="39" t="s">
        <v>12</v>
      </c>
      <c r="B59" s="49"/>
      <c r="C59" s="44"/>
      <c r="D59" s="55">
        <f>3.54+152.57</f>
        <v>156.10999999999999</v>
      </c>
      <c r="E59" s="20">
        <v>5545.87</v>
      </c>
      <c r="F59" s="20">
        <v>1245.4000000000001</v>
      </c>
      <c r="G59" s="20">
        <f t="shared" si="0"/>
        <v>6791.27</v>
      </c>
      <c r="H59" s="20">
        <v>1092.3</v>
      </c>
      <c r="I59" s="20">
        <v>0</v>
      </c>
      <c r="J59" s="46">
        <f t="shared" si="1"/>
        <v>109.8189989687413</v>
      </c>
      <c r="K59" s="58">
        <f t="shared" si="2"/>
        <v>24.661339215609168</v>
      </c>
      <c r="L59" s="46">
        <f t="shared" si="3"/>
        <v>17.663160583153989</v>
      </c>
      <c r="M59" s="46">
        <f t="shared" si="4"/>
        <v>3.9665012324955295</v>
      </c>
      <c r="N59" s="46">
        <f t="shared" si="5"/>
        <v>127.48215955189528</v>
      </c>
      <c r="O59" s="46">
        <f t="shared" si="6"/>
        <v>28.627840448104699</v>
      </c>
      <c r="P59" s="20">
        <f t="shared" si="7"/>
        <v>0</v>
      </c>
    </row>
    <row r="60" spans="1:16" x14ac:dyDescent="0.25">
      <c r="A60" s="39" t="s">
        <v>85</v>
      </c>
      <c r="B60" s="79">
        <f>0.89+126.6</f>
        <v>127.49</v>
      </c>
      <c r="C60" s="44">
        <v>6335.69</v>
      </c>
      <c r="D60" s="55">
        <f>B60*C60/(C60+C61)</f>
        <v>113.05925058472616</v>
      </c>
      <c r="E60" s="20">
        <v>4267.8900000000003</v>
      </c>
      <c r="F60" s="20">
        <v>853.6</v>
      </c>
      <c r="G60" s="20">
        <f t="shared" si="0"/>
        <v>5121.4900000000007</v>
      </c>
      <c r="H60" s="20">
        <v>1214.2</v>
      </c>
      <c r="I60" s="20">
        <v>0</v>
      </c>
      <c r="J60" s="46">
        <f t="shared" si="1"/>
        <v>76.159730823011685</v>
      </c>
      <c r="K60" s="58">
        <f t="shared" si="2"/>
        <v>15.232338750652611</v>
      </c>
      <c r="L60" s="46">
        <f t="shared" si="3"/>
        <v>18.055906614149556</v>
      </c>
      <c r="M60" s="46">
        <f t="shared" si="4"/>
        <v>3.611274396912306</v>
      </c>
      <c r="N60" s="46">
        <f t="shared" si="5"/>
        <v>94.215637437161234</v>
      </c>
      <c r="O60" s="46">
        <f t="shared" si="6"/>
        <v>18.843613147564916</v>
      </c>
      <c r="P60" s="20">
        <f t="shared" si="7"/>
        <v>0</v>
      </c>
    </row>
    <row r="61" spans="1:16" x14ac:dyDescent="0.25">
      <c r="A61" s="39" t="s">
        <v>130</v>
      </c>
      <c r="B61" s="80"/>
      <c r="C61" s="44">
        <v>808.68</v>
      </c>
      <c r="D61" s="55">
        <f>B60*C61/(C60+C61)</f>
        <v>14.430749415273844</v>
      </c>
      <c r="E61" s="20">
        <f>509.68+26</f>
        <v>535.68000000000006</v>
      </c>
      <c r="F61" s="20">
        <v>91</v>
      </c>
      <c r="G61" s="20">
        <f t="shared" si="0"/>
        <v>626.68000000000006</v>
      </c>
      <c r="H61" s="20">
        <v>182</v>
      </c>
      <c r="I61" s="20">
        <v>0</v>
      </c>
      <c r="J61" s="46">
        <f t="shared" si="1"/>
        <v>9.5591134277759977</v>
      </c>
      <c r="K61" s="58">
        <f t="shared" si="2"/>
        <v>1.6238786624992825</v>
      </c>
      <c r="L61" s="46">
        <f t="shared" si="3"/>
        <v>2.7761515348427119</v>
      </c>
      <c r="M61" s="46">
        <f t="shared" si="4"/>
        <v>0.47160579015585197</v>
      </c>
      <c r="N61" s="46">
        <f t="shared" si="5"/>
        <v>12.335264962618709</v>
      </c>
      <c r="O61" s="46">
        <f t="shared" si="6"/>
        <v>2.0954844526551346</v>
      </c>
      <c r="P61" s="20">
        <f t="shared" si="7"/>
        <v>0</v>
      </c>
    </row>
    <row r="62" spans="1:16" ht="15.75" x14ac:dyDescent="0.25">
      <c r="A62" s="63" t="s">
        <v>252</v>
      </c>
      <c r="B62" s="79">
        <v>168.81</v>
      </c>
      <c r="C62" s="44">
        <v>1495.7</v>
      </c>
      <c r="D62" s="55">
        <f>B62*C62/(C62+C63)</f>
        <v>38.748859276493086</v>
      </c>
      <c r="E62" s="20">
        <v>1083.7</v>
      </c>
      <c r="F62" s="20">
        <v>63.4</v>
      </c>
      <c r="G62" s="20">
        <f t="shared" si="0"/>
        <v>1147.1000000000001</v>
      </c>
      <c r="H62" s="20">
        <v>348.6</v>
      </c>
      <c r="I62" s="20">
        <v>1</v>
      </c>
      <c r="J62" s="46">
        <f t="shared" ref="J62:J65" si="14">E62*(D62/(G62-I62+H62))</f>
        <v>28.094024752750084</v>
      </c>
      <c r="K62" s="58">
        <f t="shared" ref="K62:K65" si="15">F62*(D62/(G62-I62+H62))</f>
        <v>1.6435924788450265</v>
      </c>
      <c r="L62" s="46">
        <f t="shared" ref="L62:L65" si="16">E62*(D62-J62-K62)/G62</f>
        <v>8.5131924017574203</v>
      </c>
      <c r="M62" s="46">
        <f t="shared" ref="M62:M65" si="17">F62*(D62-J62-K62)/G62</f>
        <v>0.49804964314055583</v>
      </c>
      <c r="N62" s="46">
        <f t="shared" ref="N62:N65" si="18">J62+L62</f>
        <v>36.607217154507502</v>
      </c>
      <c r="O62" s="46">
        <f t="shared" ref="O62:O65" si="19">K62+M62</f>
        <v>2.1416421219855821</v>
      </c>
      <c r="P62" s="20">
        <f t="shared" ref="P62:P65" si="20">D62-(N62+O62)</f>
        <v>0</v>
      </c>
    </row>
    <row r="63" spans="1:16" ht="15.75" x14ac:dyDescent="0.25">
      <c r="A63" s="63" t="s">
        <v>253</v>
      </c>
      <c r="B63" s="80"/>
      <c r="C63" s="44">
        <v>5020.34</v>
      </c>
      <c r="D63" s="55">
        <f>B62*C63/(C62+C63)</f>
        <v>130.06114072350692</v>
      </c>
      <c r="E63" s="20">
        <v>4167.3900000000003</v>
      </c>
      <c r="F63" s="20">
        <v>134.5</v>
      </c>
      <c r="G63" s="20">
        <f t="shared" si="0"/>
        <v>4301.8900000000003</v>
      </c>
      <c r="H63" s="20">
        <v>754</v>
      </c>
      <c r="I63" s="20">
        <v>2</v>
      </c>
      <c r="J63" s="46">
        <f t="shared" si="14"/>
        <v>107.24718924229366</v>
      </c>
      <c r="K63" s="58">
        <f t="shared" si="15"/>
        <v>3.4613383803984021</v>
      </c>
      <c r="L63" s="46">
        <f t="shared" si="16"/>
        <v>18.74754731297287</v>
      </c>
      <c r="M63" s="46">
        <f t="shared" si="17"/>
        <v>0.60506578784199472</v>
      </c>
      <c r="N63" s="46">
        <f t="shared" si="18"/>
        <v>125.99473655526653</v>
      </c>
      <c r="O63" s="46">
        <f t="shared" si="19"/>
        <v>4.0664041682403971</v>
      </c>
      <c r="P63" s="20">
        <f t="shared" si="20"/>
        <v>0</v>
      </c>
    </row>
    <row r="64" spans="1:16" ht="15.75" x14ac:dyDescent="0.25">
      <c r="A64" s="63" t="s">
        <v>254</v>
      </c>
      <c r="B64" s="79">
        <f>6.16+283.63</f>
        <v>289.79000000000002</v>
      </c>
      <c r="C64" s="44">
        <v>15298.77</v>
      </c>
      <c r="D64" s="55">
        <f>B64*C64/(C64+C65)</f>
        <v>283.61485595133536</v>
      </c>
      <c r="E64" s="20">
        <v>11991.57</v>
      </c>
      <c r="F64" s="20">
        <v>866.9</v>
      </c>
      <c r="G64" s="20">
        <f t="shared" si="0"/>
        <v>12858.47</v>
      </c>
      <c r="H64" s="20">
        <v>2440.3000000000002</v>
      </c>
      <c r="I64" s="20">
        <v>3</v>
      </c>
      <c r="J64" s="46">
        <f t="shared" si="14"/>
        <v>222.34823079716512</v>
      </c>
      <c r="K64" s="58">
        <f t="shared" si="15"/>
        <v>16.074098827598256</v>
      </c>
      <c r="L64" s="46">
        <f t="shared" si="16"/>
        <v>42.1457096312338</v>
      </c>
      <c r="M64" s="46">
        <f t="shared" si="17"/>
        <v>3.0468166953381899</v>
      </c>
      <c r="N64" s="46">
        <f t="shared" si="18"/>
        <v>264.4939404283989</v>
      </c>
      <c r="O64" s="46">
        <f t="shared" si="19"/>
        <v>19.120915522936446</v>
      </c>
      <c r="P64" s="20">
        <f t="shared" si="20"/>
        <v>0</v>
      </c>
    </row>
    <row r="65" spans="1:16" ht="15.75" x14ac:dyDescent="0.25">
      <c r="A65" s="63" t="s">
        <v>255</v>
      </c>
      <c r="B65" s="80"/>
      <c r="C65" s="44">
        <v>333.1</v>
      </c>
      <c r="D65" s="55">
        <f>B64*C65/(C64+C65)</f>
        <v>6.1751440486646834</v>
      </c>
      <c r="E65" s="20">
        <v>295.60000000000002</v>
      </c>
      <c r="F65" s="20">
        <v>0</v>
      </c>
      <c r="G65" s="20">
        <f t="shared" si="0"/>
        <v>295.60000000000002</v>
      </c>
      <c r="H65" s="20">
        <v>37.5</v>
      </c>
      <c r="I65" s="20">
        <v>4</v>
      </c>
      <c r="J65" s="46">
        <f t="shared" si="14"/>
        <v>5.5465590421916762</v>
      </c>
      <c r="K65" s="58">
        <f t="shared" si="15"/>
        <v>0</v>
      </c>
      <c r="L65" s="46">
        <f t="shared" si="16"/>
        <v>0.62858500647300719</v>
      </c>
      <c r="M65" s="46">
        <f t="shared" si="17"/>
        <v>0</v>
      </c>
      <c r="N65" s="46">
        <f t="shared" si="18"/>
        <v>6.1751440486646834</v>
      </c>
      <c r="O65" s="46">
        <f t="shared" si="19"/>
        <v>0</v>
      </c>
      <c r="P65" s="20">
        <f t="shared" si="20"/>
        <v>0</v>
      </c>
    </row>
    <row r="66" spans="1:16" x14ac:dyDescent="0.25">
      <c r="A66" s="39" t="s">
        <v>13</v>
      </c>
      <c r="B66" s="49"/>
      <c r="C66" s="44"/>
      <c r="D66" s="55">
        <v>240.59</v>
      </c>
      <c r="E66" s="20">
        <f>6402.93+32.6</f>
        <v>6435.5300000000007</v>
      </c>
      <c r="F66" s="20">
        <v>585.6</v>
      </c>
      <c r="G66" s="20">
        <f t="shared" si="0"/>
        <v>7021.130000000001</v>
      </c>
      <c r="H66" s="20">
        <v>1108.9000000000001</v>
      </c>
      <c r="I66" s="20">
        <v>0</v>
      </c>
      <c r="J66" s="46">
        <f t="shared" si="1"/>
        <v>190.44507372051518</v>
      </c>
      <c r="K66" s="58">
        <f t="shared" si="2"/>
        <v>17.329518341260734</v>
      </c>
      <c r="L66" s="46">
        <f t="shared" si="3"/>
        <v>30.07842644256398</v>
      </c>
      <c r="M66" s="46">
        <f t="shared" si="4"/>
        <v>2.7369814956601037</v>
      </c>
      <c r="N66" s="46">
        <f t="shared" si="5"/>
        <v>220.52350016307918</v>
      </c>
      <c r="O66" s="46">
        <f t="shared" si="6"/>
        <v>20.066499836920837</v>
      </c>
      <c r="P66" s="20">
        <f t="shared" si="7"/>
        <v>0</v>
      </c>
    </row>
    <row r="67" spans="1:16" x14ac:dyDescent="0.25">
      <c r="A67" s="39" t="s">
        <v>166</v>
      </c>
      <c r="B67" s="49"/>
      <c r="C67" s="44"/>
      <c r="D67" s="55">
        <v>145.44839999999999</v>
      </c>
      <c r="E67" s="20">
        <v>5407.87</v>
      </c>
      <c r="F67" s="20">
        <v>1014.2</v>
      </c>
      <c r="G67" s="20">
        <f t="shared" si="0"/>
        <v>6422.07</v>
      </c>
      <c r="H67" s="20">
        <v>1018.8</v>
      </c>
      <c r="I67" s="20">
        <v>0</v>
      </c>
      <c r="J67" s="46">
        <f t="shared" si="1"/>
        <v>105.70888066959911</v>
      </c>
      <c r="K67" s="58">
        <f t="shared" si="2"/>
        <v>19.8248010353628</v>
      </c>
      <c r="L67" s="46">
        <f t="shared" si="3"/>
        <v>16.769703168322302</v>
      </c>
      <c r="M67" s="46">
        <f t="shared" si="4"/>
        <v>3.1450151267157826</v>
      </c>
      <c r="N67" s="46">
        <f t="shared" si="5"/>
        <v>122.47858383792141</v>
      </c>
      <c r="O67" s="46">
        <f t="shared" si="6"/>
        <v>22.969816162078583</v>
      </c>
      <c r="P67" s="20">
        <f t="shared" si="7"/>
        <v>0</v>
      </c>
    </row>
    <row r="68" spans="1:16" x14ac:dyDescent="0.25">
      <c r="A68" s="39" t="s">
        <v>103</v>
      </c>
      <c r="B68" s="79">
        <v>146.27000000000001</v>
      </c>
      <c r="C68" s="44">
        <v>5691.2</v>
      </c>
      <c r="D68" s="55">
        <f>B68*C68/(C68+C69)</f>
        <v>133.73901694125587</v>
      </c>
      <c r="E68" s="20">
        <v>4690.6000000000004</v>
      </c>
      <c r="F68" s="20">
        <v>321.10000000000002</v>
      </c>
      <c r="G68" s="20">
        <f t="shared" si="0"/>
        <v>5011.7000000000007</v>
      </c>
      <c r="H68" s="20">
        <v>679.5</v>
      </c>
      <c r="I68" s="20">
        <v>0</v>
      </c>
      <c r="J68" s="46">
        <f t="shared" si="1"/>
        <v>110.22565238695789</v>
      </c>
      <c r="K68" s="58">
        <f t="shared" si="2"/>
        <v>7.5456139899910841</v>
      </c>
      <c r="L68" s="46">
        <f t="shared" si="3"/>
        <v>14.944695571749689</v>
      </c>
      <c r="M68" s="46">
        <f t="shared" si="4"/>
        <v>1.0230549925572048</v>
      </c>
      <c r="N68" s="46">
        <f t="shared" si="5"/>
        <v>125.17034795870758</v>
      </c>
      <c r="O68" s="46">
        <f t="shared" si="6"/>
        <v>8.5686689825482887</v>
      </c>
      <c r="P68" s="20">
        <f t="shared" si="7"/>
        <v>0</v>
      </c>
    </row>
    <row r="69" spans="1:16" x14ac:dyDescent="0.25">
      <c r="A69" s="39" t="s">
        <v>14</v>
      </c>
      <c r="B69" s="80"/>
      <c r="C69" s="44">
        <v>533.25</v>
      </c>
      <c r="D69" s="55">
        <f>B68*C69/(C68+C69)</f>
        <v>12.530983058744148</v>
      </c>
      <c r="E69" s="20">
        <v>430.65</v>
      </c>
      <c r="F69" s="20">
        <v>0</v>
      </c>
      <c r="G69" s="20">
        <f t="shared" si="0"/>
        <v>430.65</v>
      </c>
      <c r="H69" s="20">
        <v>102.6</v>
      </c>
      <c r="I69" s="20">
        <v>0</v>
      </c>
      <c r="J69" s="46">
        <f t="shared" si="1"/>
        <v>10.119958470226285</v>
      </c>
      <c r="K69" s="58">
        <f t="shared" si="2"/>
        <v>0</v>
      </c>
      <c r="L69" s="46">
        <f t="shared" si="3"/>
        <v>2.4110245885178632</v>
      </c>
      <c r="M69" s="46">
        <f t="shared" si="4"/>
        <v>0</v>
      </c>
      <c r="N69" s="46">
        <f t="shared" si="5"/>
        <v>12.530983058744148</v>
      </c>
      <c r="O69" s="46">
        <f t="shared" si="6"/>
        <v>0</v>
      </c>
      <c r="P69" s="20">
        <f t="shared" si="7"/>
        <v>0</v>
      </c>
    </row>
    <row r="70" spans="1:16" x14ac:dyDescent="0.25">
      <c r="A70" s="39" t="s">
        <v>167</v>
      </c>
      <c r="B70" s="49"/>
      <c r="C70" s="44"/>
      <c r="D70" s="55">
        <v>171.100154</v>
      </c>
      <c r="E70" s="20">
        <v>5644.19</v>
      </c>
      <c r="F70" s="20">
        <v>771</v>
      </c>
      <c r="G70" s="20">
        <f t="shared" si="0"/>
        <v>6415.19</v>
      </c>
      <c r="H70" s="20">
        <v>1091.4000000000001</v>
      </c>
      <c r="I70" s="20">
        <v>0</v>
      </c>
      <c r="J70" s="46">
        <f t="shared" si="1"/>
        <v>128.64986341404818</v>
      </c>
      <c r="K70" s="58">
        <f t="shared" si="2"/>
        <v>17.573654446826055</v>
      </c>
      <c r="L70" s="46">
        <f t="shared" si="3"/>
        <v>21.88687489070351</v>
      </c>
      <c r="M70" s="46">
        <f t="shared" si="4"/>
        <v>2.9897612484222549</v>
      </c>
      <c r="N70" s="46">
        <f t="shared" si="5"/>
        <v>150.53673830475168</v>
      </c>
      <c r="O70" s="46">
        <f t="shared" si="6"/>
        <v>20.56341569524831</v>
      </c>
      <c r="P70" s="20">
        <f t="shared" si="7"/>
        <v>0</v>
      </c>
    </row>
    <row r="71" spans="1:16" x14ac:dyDescent="0.25">
      <c r="A71" s="39" t="s">
        <v>168</v>
      </c>
      <c r="B71" s="49"/>
      <c r="C71" s="44"/>
      <c r="D71" s="55">
        <v>105.69525999999998</v>
      </c>
      <c r="E71" s="20">
        <v>4271.7700000000004</v>
      </c>
      <c r="F71" s="20">
        <v>870.6</v>
      </c>
      <c r="G71" s="20">
        <f t="shared" si="0"/>
        <v>5142.3700000000008</v>
      </c>
      <c r="H71" s="20">
        <v>640.9</v>
      </c>
      <c r="I71" s="20">
        <v>0</v>
      </c>
      <c r="J71" s="46">
        <f t="shared" si="1"/>
        <v>78.071029160008081</v>
      </c>
      <c r="K71" s="58">
        <f t="shared" si="2"/>
        <v>15.911118338932814</v>
      </c>
      <c r="L71" s="46">
        <f t="shared" si="3"/>
        <v>9.7300899368674649</v>
      </c>
      <c r="M71" s="46">
        <f t="shared" si="4"/>
        <v>1.9830225641916148</v>
      </c>
      <c r="N71" s="46">
        <f t="shared" si="5"/>
        <v>87.801119096875539</v>
      </c>
      <c r="O71" s="46">
        <f t="shared" si="6"/>
        <v>17.894140903124431</v>
      </c>
      <c r="P71" s="20">
        <f t="shared" si="7"/>
        <v>0</v>
      </c>
    </row>
    <row r="72" spans="1:16" x14ac:dyDescent="0.25">
      <c r="A72" s="39" t="s">
        <v>15</v>
      </c>
      <c r="B72" s="49"/>
      <c r="C72" s="44"/>
      <c r="D72" s="55">
        <v>92.091000000000008</v>
      </c>
      <c r="E72" s="20">
        <f>3861.89+10.05</f>
        <v>3871.94</v>
      </c>
      <c r="F72" s="20">
        <v>248.3</v>
      </c>
      <c r="G72" s="20">
        <f t="shared" si="0"/>
        <v>4120.24</v>
      </c>
      <c r="H72" s="20">
        <v>402.5</v>
      </c>
      <c r="I72" s="20">
        <v>0</v>
      </c>
      <c r="J72" s="46">
        <f t="shared" si="1"/>
        <v>78.839558882447378</v>
      </c>
      <c r="K72" s="58">
        <f t="shared" si="2"/>
        <v>5.0558279494288865</v>
      </c>
      <c r="L72" s="46">
        <f t="shared" si="3"/>
        <v>7.7017169995400883</v>
      </c>
      <c r="M72" s="46">
        <f t="shared" si="4"/>
        <v>0.49389616858365676</v>
      </c>
      <c r="N72" s="46">
        <f t="shared" si="5"/>
        <v>86.54127588198746</v>
      </c>
      <c r="O72" s="46">
        <f t="shared" si="6"/>
        <v>5.5497241180125432</v>
      </c>
      <c r="P72" s="20">
        <f t="shared" si="7"/>
        <v>0</v>
      </c>
    </row>
    <row r="73" spans="1:16" x14ac:dyDescent="0.25">
      <c r="A73" s="39" t="s">
        <v>169</v>
      </c>
      <c r="B73" s="49"/>
      <c r="C73" s="44"/>
      <c r="D73" s="55">
        <v>147.01536900000002</v>
      </c>
      <c r="E73" s="20">
        <v>5275.19</v>
      </c>
      <c r="F73" s="20">
        <v>1066.4000000000001</v>
      </c>
      <c r="G73" s="20">
        <f t="shared" si="0"/>
        <v>6341.59</v>
      </c>
      <c r="H73" s="20">
        <v>665.9</v>
      </c>
      <c r="I73" s="20">
        <v>0</v>
      </c>
      <c r="J73" s="46">
        <f t="shared" si="1"/>
        <v>110.6721528528917</v>
      </c>
      <c r="K73" s="58">
        <f t="shared" si="2"/>
        <v>22.37280245874058</v>
      </c>
      <c r="L73" s="46">
        <f t="shared" si="3"/>
        <v>11.621152831504499</v>
      </c>
      <c r="M73" s="46">
        <f t="shared" si="4"/>
        <v>2.3492608568632409</v>
      </c>
      <c r="N73" s="46">
        <f t="shared" si="5"/>
        <v>122.2933056843962</v>
      </c>
      <c r="O73" s="46">
        <f t="shared" si="6"/>
        <v>24.722063315603819</v>
      </c>
      <c r="P73" s="20">
        <f t="shared" si="7"/>
        <v>0</v>
      </c>
    </row>
    <row r="74" spans="1:16" x14ac:dyDescent="0.25">
      <c r="A74" s="39" t="s">
        <v>170</v>
      </c>
      <c r="B74" s="49"/>
      <c r="C74" s="44"/>
      <c r="D74" s="55">
        <v>132.833</v>
      </c>
      <c r="E74" s="20">
        <v>5247.76</v>
      </c>
      <c r="F74" s="20">
        <v>379.3</v>
      </c>
      <c r="G74" s="20">
        <f t="shared" ref="G74:G138" si="21">E74+F74</f>
        <v>5627.06</v>
      </c>
      <c r="H74" s="20">
        <v>617</v>
      </c>
      <c r="I74" s="20">
        <v>0</v>
      </c>
      <c r="J74" s="46">
        <f t="shared" ref="J74:J138" si="22">E74*(D74/(G74-I74+H74))</f>
        <v>111.6382136110159</v>
      </c>
      <c r="K74" s="58">
        <f t="shared" ref="K74:K138" si="23">F74*(D74/(G74-I74+H74))</f>
        <v>8.0690379176369209</v>
      </c>
      <c r="L74" s="46">
        <f t="shared" ref="L74:L138" si="24">E74*(D74-J74-K74)/G74</f>
        <v>12.240988686453825</v>
      </c>
      <c r="M74" s="46">
        <f t="shared" ref="M74:M138" si="25">F74*(D74-J74-K74)/G74</f>
        <v>0.88475978489335183</v>
      </c>
      <c r="N74" s="46">
        <f t="shared" ref="N74:N138" si="26">J74+L74</f>
        <v>123.87920229746973</v>
      </c>
      <c r="O74" s="46">
        <f t="shared" ref="O74:O138" si="27">K74+M74</f>
        <v>8.953797702530272</v>
      </c>
      <c r="P74" s="20">
        <f t="shared" ref="P74:P138" si="28">D74-(N74+O74)</f>
        <v>0</v>
      </c>
    </row>
    <row r="75" spans="1:16" x14ac:dyDescent="0.25">
      <c r="A75" s="39" t="s">
        <v>171</v>
      </c>
      <c r="B75" s="49"/>
      <c r="C75" s="44"/>
      <c r="D75" s="55">
        <v>117.57107000000001</v>
      </c>
      <c r="E75" s="20">
        <v>4190.51</v>
      </c>
      <c r="F75" s="20">
        <v>0</v>
      </c>
      <c r="G75" s="20">
        <f t="shared" si="21"/>
        <v>4190.51</v>
      </c>
      <c r="H75" s="20">
        <v>455</v>
      </c>
      <c r="I75" s="20">
        <v>0</v>
      </c>
      <c r="J75" s="46">
        <f t="shared" si="22"/>
        <v>106.05568485391271</v>
      </c>
      <c r="K75" s="58">
        <f t="shared" si="23"/>
        <v>0</v>
      </c>
      <c r="L75" s="46">
        <f t="shared" si="24"/>
        <v>11.515385146087297</v>
      </c>
      <c r="M75" s="46">
        <f t="shared" si="25"/>
        <v>0</v>
      </c>
      <c r="N75" s="46">
        <f t="shared" si="26"/>
        <v>117.57107000000001</v>
      </c>
      <c r="O75" s="46">
        <f t="shared" si="27"/>
        <v>0</v>
      </c>
      <c r="P75" s="20">
        <f t="shared" si="28"/>
        <v>0</v>
      </c>
    </row>
    <row r="76" spans="1:16" x14ac:dyDescent="0.25">
      <c r="A76" s="39" t="s">
        <v>90</v>
      </c>
      <c r="B76" s="79">
        <v>303.27999999999997</v>
      </c>
      <c r="C76" s="44">
        <f>G76+H76</f>
        <v>3163.54</v>
      </c>
      <c r="D76" s="55">
        <f>B76*C76/(C76+C77+C78+C79+C80+C81)</f>
        <v>72.586077043775333</v>
      </c>
      <c r="E76" s="20">
        <v>2226.84</v>
      </c>
      <c r="F76" s="20">
        <v>171.7</v>
      </c>
      <c r="G76" s="20">
        <f t="shared" si="21"/>
        <v>2398.54</v>
      </c>
      <c r="H76" s="20">
        <v>765</v>
      </c>
      <c r="I76" s="20">
        <v>0</v>
      </c>
      <c r="J76" s="46">
        <f t="shared" si="22"/>
        <v>51.093894752132321</v>
      </c>
      <c r="K76" s="58">
        <f t="shared" si="23"/>
        <v>3.9395833238764881</v>
      </c>
      <c r="L76" s="46">
        <f t="shared" si="24"/>
        <v>16.296092408457316</v>
      </c>
      <c r="M76" s="46">
        <f t="shared" si="25"/>
        <v>1.25650655930921</v>
      </c>
      <c r="N76" s="46">
        <f t="shared" si="26"/>
        <v>67.389987160589641</v>
      </c>
      <c r="O76" s="46">
        <f t="shared" si="27"/>
        <v>5.1960898831856976</v>
      </c>
      <c r="P76" s="20">
        <f t="shared" si="28"/>
        <v>0</v>
      </c>
    </row>
    <row r="77" spans="1:16" x14ac:dyDescent="0.25">
      <c r="A77" s="39" t="s">
        <v>91</v>
      </c>
      <c r="B77" s="85"/>
      <c r="C77" s="44">
        <v>3160.5</v>
      </c>
      <c r="D77" s="55">
        <f>B76*C77/(C76+C77+C78+C79+C80+C81)</f>
        <v>72.516325539380546</v>
      </c>
      <c r="E77" s="20">
        <v>1844.2</v>
      </c>
      <c r="F77" s="20">
        <v>603.70000000000005</v>
      </c>
      <c r="G77" s="20">
        <f t="shared" si="21"/>
        <v>2447.9</v>
      </c>
      <c r="H77" s="20">
        <v>712.6</v>
      </c>
      <c r="I77" s="20">
        <v>0</v>
      </c>
      <c r="J77" s="46">
        <f t="shared" si="22"/>
        <v>42.314383027915078</v>
      </c>
      <c r="K77" s="58">
        <f t="shared" si="23"/>
        <v>13.851639211556412</v>
      </c>
      <c r="L77" s="46">
        <f t="shared" si="24"/>
        <v>12.317998833976993</v>
      </c>
      <c r="M77" s="46">
        <f t="shared" si="25"/>
        <v>4.0323044659320635</v>
      </c>
      <c r="N77" s="46">
        <f t="shared" si="26"/>
        <v>54.632381861892071</v>
      </c>
      <c r="O77" s="46">
        <f t="shared" si="27"/>
        <v>17.883943677488475</v>
      </c>
      <c r="P77" s="20">
        <f t="shared" si="28"/>
        <v>0</v>
      </c>
    </row>
    <row r="78" spans="1:16" x14ac:dyDescent="0.25">
      <c r="A78" s="39" t="s">
        <v>92</v>
      </c>
      <c r="B78" s="85"/>
      <c r="C78" s="44">
        <v>734.41</v>
      </c>
      <c r="D78" s="55">
        <f>B76*C78/(C76+C77+C78+C79+C80+C81)</f>
        <v>16.850724454794012</v>
      </c>
      <c r="E78" s="20">
        <v>251.35</v>
      </c>
      <c r="F78" s="20">
        <v>341.26</v>
      </c>
      <c r="G78" s="20">
        <f t="shared" si="21"/>
        <v>592.61</v>
      </c>
      <c r="H78" s="20">
        <v>141.80000000000001</v>
      </c>
      <c r="I78" s="20">
        <v>0</v>
      </c>
      <c r="J78" s="46">
        <f t="shared" si="22"/>
        <v>5.7671186281674736</v>
      </c>
      <c r="K78" s="58">
        <f t="shared" si="23"/>
        <v>7.8300652597908567</v>
      </c>
      <c r="L78" s="46">
        <f t="shared" si="24"/>
        <v>1.3799588624460413</v>
      </c>
      <c r="M78" s="46">
        <f t="shared" si="25"/>
        <v>1.8735817043896403</v>
      </c>
      <c r="N78" s="46">
        <f t="shared" si="26"/>
        <v>7.1470774906135146</v>
      </c>
      <c r="O78" s="46">
        <f t="shared" si="27"/>
        <v>9.7036469641804963</v>
      </c>
      <c r="P78" s="20">
        <f t="shared" si="28"/>
        <v>0</v>
      </c>
    </row>
    <row r="79" spans="1:16" x14ac:dyDescent="0.25">
      <c r="A79" s="39" t="s">
        <v>93</v>
      </c>
      <c r="B79" s="85"/>
      <c r="C79" s="44">
        <v>2044.31</v>
      </c>
      <c r="D79" s="55">
        <f>B76*C79/(C76+C77+C78+C79+C80+C81)</f>
        <v>46.905821693849404</v>
      </c>
      <c r="E79" s="20">
        <v>810.97</v>
      </c>
      <c r="F79" s="20">
        <v>1118.6400000000001</v>
      </c>
      <c r="G79" s="20">
        <f t="shared" si="21"/>
        <v>1929.6100000000001</v>
      </c>
      <c r="H79" s="20">
        <v>114.7</v>
      </c>
      <c r="I79" s="20">
        <v>0</v>
      </c>
      <c r="J79" s="46">
        <f t="shared" si="22"/>
        <v>18.607361025999506</v>
      </c>
      <c r="K79" s="58">
        <f t="shared" si="23"/>
        <v>25.666718051375625</v>
      </c>
      <c r="L79" s="46">
        <f t="shared" si="24"/>
        <v>1.1060599342261606</v>
      </c>
      <c r="M79" s="46">
        <f t="shared" si="25"/>
        <v>1.5256826822481131</v>
      </c>
      <c r="N79" s="46">
        <f t="shared" si="26"/>
        <v>19.713420960225665</v>
      </c>
      <c r="O79" s="46">
        <f t="shared" si="27"/>
        <v>27.192400733623739</v>
      </c>
      <c r="P79" s="20">
        <f t="shared" si="28"/>
        <v>0</v>
      </c>
    </row>
    <row r="80" spans="1:16" x14ac:dyDescent="0.25">
      <c r="A80" s="39" t="s">
        <v>94</v>
      </c>
      <c r="B80" s="85"/>
      <c r="C80" s="44">
        <v>2107.3000000000002</v>
      </c>
      <c r="D80" s="55">
        <f>B76*C80/(C76+C77+C78+C79+C80+C81)</f>
        <v>48.351100398397925</v>
      </c>
      <c r="E80" s="20">
        <v>1530</v>
      </c>
      <c r="F80" s="20">
        <v>138</v>
      </c>
      <c r="G80" s="20">
        <f t="shared" si="21"/>
        <v>1668</v>
      </c>
      <c r="H80" s="20">
        <v>439.3</v>
      </c>
      <c r="I80" s="20">
        <v>0</v>
      </c>
      <c r="J80" s="46">
        <f t="shared" si="22"/>
        <v>35.105197935533056</v>
      </c>
      <c r="K80" s="58">
        <f t="shared" si="23"/>
        <v>3.1663511863421974</v>
      </c>
      <c r="L80" s="46">
        <f t="shared" si="24"/>
        <v>9.2456315665945379</v>
      </c>
      <c r="M80" s="46">
        <f t="shared" si="25"/>
        <v>0.83391970992813469</v>
      </c>
      <c r="N80" s="46">
        <f t="shared" si="26"/>
        <v>44.350829502127596</v>
      </c>
      <c r="O80" s="46">
        <f t="shared" si="27"/>
        <v>4.0002708962703322</v>
      </c>
      <c r="P80" s="20">
        <f t="shared" si="28"/>
        <v>0</v>
      </c>
    </row>
    <row r="81" spans="1:16" x14ac:dyDescent="0.25">
      <c r="A81" s="39" t="s">
        <v>95</v>
      </c>
      <c r="B81" s="80"/>
      <c r="C81" s="44">
        <v>2007.88</v>
      </c>
      <c r="D81" s="55">
        <f>B76*C81/(C76+C77+C78+C79+C80+C81)</f>
        <v>46.069950869802696</v>
      </c>
      <c r="E81" s="20">
        <v>1688.18</v>
      </c>
      <c r="F81" s="20">
        <v>0</v>
      </c>
      <c r="G81" s="20">
        <f t="shared" si="21"/>
        <v>1688.18</v>
      </c>
      <c r="H81" s="20">
        <v>319.7</v>
      </c>
      <c r="I81" s="20">
        <v>0</v>
      </c>
      <c r="J81" s="46">
        <f t="shared" si="22"/>
        <v>38.734570621443268</v>
      </c>
      <c r="K81" s="58">
        <f t="shared" si="23"/>
        <v>0</v>
      </c>
      <c r="L81" s="46">
        <f t="shared" si="24"/>
        <v>7.3353802483594279</v>
      </c>
      <c r="M81" s="46">
        <f t="shared" si="25"/>
        <v>0</v>
      </c>
      <c r="N81" s="46">
        <f t="shared" si="26"/>
        <v>46.069950869802696</v>
      </c>
      <c r="O81" s="46">
        <f t="shared" si="27"/>
        <v>0</v>
      </c>
      <c r="P81" s="20">
        <f t="shared" si="28"/>
        <v>0</v>
      </c>
    </row>
    <row r="82" spans="1:16" x14ac:dyDescent="0.25">
      <c r="A82" s="39" t="s">
        <v>172</v>
      </c>
      <c r="B82" s="49"/>
      <c r="C82" s="44"/>
      <c r="D82" s="55">
        <v>144.727217</v>
      </c>
      <c r="E82" s="20">
        <v>5516.94</v>
      </c>
      <c r="F82" s="20">
        <v>251.7</v>
      </c>
      <c r="G82" s="20">
        <f t="shared" si="21"/>
        <v>5768.6399999999994</v>
      </c>
      <c r="H82" s="20">
        <v>785</v>
      </c>
      <c r="I82" s="20">
        <v>0</v>
      </c>
      <c r="J82" s="46">
        <f t="shared" si="22"/>
        <v>121.83326709370364</v>
      </c>
      <c r="K82" s="58">
        <f t="shared" si="23"/>
        <v>5.5584134189397041</v>
      </c>
      <c r="L82" s="46">
        <f t="shared" si="24"/>
        <v>16.579144246920837</v>
      </c>
      <c r="M82" s="46">
        <f t="shared" si="25"/>
        <v>0.75639224043581677</v>
      </c>
      <c r="N82" s="46">
        <f t="shared" si="26"/>
        <v>138.41241134062449</v>
      </c>
      <c r="O82" s="46">
        <f t="shared" si="27"/>
        <v>6.3148056593755211</v>
      </c>
      <c r="P82" s="20">
        <f t="shared" si="28"/>
        <v>0</v>
      </c>
    </row>
    <row r="83" spans="1:16" x14ac:dyDescent="0.25">
      <c r="A83" s="39" t="s">
        <v>16</v>
      </c>
      <c r="B83" s="49"/>
      <c r="C83" s="44"/>
      <c r="D83" s="55">
        <v>87.838800000000035</v>
      </c>
      <c r="E83" s="20">
        <f>4114.4+11.41</f>
        <v>4125.8099999999995</v>
      </c>
      <c r="F83" s="20">
        <v>0</v>
      </c>
      <c r="G83" s="20">
        <f t="shared" si="21"/>
        <v>4125.8099999999995</v>
      </c>
      <c r="H83" s="20">
        <v>362.4</v>
      </c>
      <c r="I83" s="20">
        <v>0</v>
      </c>
      <c r="J83" s="46">
        <f t="shared" si="22"/>
        <v>80.746266201447824</v>
      </c>
      <c r="K83" s="58">
        <f t="shared" si="23"/>
        <v>0</v>
      </c>
      <c r="L83" s="46">
        <f t="shared" si="24"/>
        <v>7.0925337985522106</v>
      </c>
      <c r="M83" s="46">
        <f t="shared" si="25"/>
        <v>0</v>
      </c>
      <c r="N83" s="46">
        <f t="shared" si="26"/>
        <v>87.838800000000035</v>
      </c>
      <c r="O83" s="46">
        <f t="shared" si="27"/>
        <v>0</v>
      </c>
      <c r="P83" s="20">
        <f t="shared" si="28"/>
        <v>0</v>
      </c>
    </row>
    <row r="84" spans="1:16" x14ac:dyDescent="0.25">
      <c r="A84" s="39" t="s">
        <v>17</v>
      </c>
      <c r="B84" s="49"/>
      <c r="C84" s="44"/>
      <c r="D84" s="55">
        <v>153.34879999999998</v>
      </c>
      <c r="E84" s="20">
        <v>5956.7</v>
      </c>
      <c r="F84" s="20">
        <v>441.7</v>
      </c>
      <c r="G84" s="20">
        <f t="shared" si="21"/>
        <v>6398.4</v>
      </c>
      <c r="H84" s="20">
        <v>801.9</v>
      </c>
      <c r="I84" s="20">
        <v>0</v>
      </c>
      <c r="J84" s="46">
        <f t="shared" si="22"/>
        <v>126.86315805730317</v>
      </c>
      <c r="K84" s="58">
        <f t="shared" si="23"/>
        <v>9.4071309473216385</v>
      </c>
      <c r="L84" s="46">
        <f t="shared" si="24"/>
        <v>15.899532140246205</v>
      </c>
      <c r="M84" s="46">
        <f t="shared" si="25"/>
        <v>1.1789788551289722</v>
      </c>
      <c r="N84" s="46">
        <f t="shared" si="26"/>
        <v>142.76269019754938</v>
      </c>
      <c r="O84" s="46">
        <f t="shared" si="27"/>
        <v>10.586109802450611</v>
      </c>
      <c r="P84" s="20">
        <f t="shared" si="28"/>
        <v>0</v>
      </c>
    </row>
    <row r="85" spans="1:16" x14ac:dyDescent="0.25">
      <c r="A85" s="39" t="s">
        <v>173</v>
      </c>
      <c r="B85" s="49"/>
      <c r="C85" s="44"/>
      <c r="D85" s="55">
        <v>68.268721999999983</v>
      </c>
      <c r="E85" s="20">
        <v>2542.1</v>
      </c>
      <c r="F85" s="20">
        <v>0</v>
      </c>
      <c r="G85" s="20">
        <f t="shared" si="21"/>
        <v>2542.1</v>
      </c>
      <c r="H85" s="20">
        <v>268</v>
      </c>
      <c r="I85" s="20">
        <v>0</v>
      </c>
      <c r="J85" s="46">
        <f t="shared" si="22"/>
        <v>61.757915446496547</v>
      </c>
      <c r="K85" s="58">
        <f t="shared" si="23"/>
        <v>0</v>
      </c>
      <c r="L85" s="46">
        <f t="shared" si="24"/>
        <v>6.5108065535034356</v>
      </c>
      <c r="M85" s="46">
        <f t="shared" si="25"/>
        <v>0</v>
      </c>
      <c r="N85" s="46">
        <f t="shared" si="26"/>
        <v>68.268721999999983</v>
      </c>
      <c r="O85" s="46">
        <f t="shared" si="27"/>
        <v>0</v>
      </c>
      <c r="P85" s="20">
        <f t="shared" si="28"/>
        <v>0</v>
      </c>
    </row>
    <row r="86" spans="1:16" x14ac:dyDescent="0.25">
      <c r="A86" s="39" t="s">
        <v>174</v>
      </c>
      <c r="B86" s="49"/>
      <c r="C86" s="44"/>
      <c r="D86" s="55">
        <v>68.902488896691978</v>
      </c>
      <c r="E86" s="20">
        <v>2407.58</v>
      </c>
      <c r="F86" s="20">
        <v>444.8</v>
      </c>
      <c r="G86" s="20">
        <f t="shared" si="21"/>
        <v>2852.38</v>
      </c>
      <c r="H86" s="20">
        <v>357.8</v>
      </c>
      <c r="I86" s="20">
        <v>0</v>
      </c>
      <c r="J86" s="46">
        <f t="shared" si="22"/>
        <v>51.675686166475913</v>
      </c>
      <c r="K86" s="58">
        <f t="shared" si="23"/>
        <v>9.5470743264391995</v>
      </c>
      <c r="L86" s="46">
        <f t="shared" si="24"/>
        <v>6.4821519258882416</v>
      </c>
      <c r="M86" s="46">
        <f t="shared" si="25"/>
        <v>1.1975764778886229</v>
      </c>
      <c r="N86" s="46">
        <f t="shared" si="26"/>
        <v>58.157838092364152</v>
      </c>
      <c r="O86" s="46">
        <f t="shared" si="27"/>
        <v>10.744650804327822</v>
      </c>
      <c r="P86" s="20">
        <f t="shared" si="28"/>
        <v>0</v>
      </c>
    </row>
    <row r="87" spans="1:16" x14ac:dyDescent="0.25">
      <c r="A87" s="39" t="s">
        <v>81</v>
      </c>
      <c r="B87" s="79">
        <f>0.11+0.44+106.52</f>
        <v>107.07</v>
      </c>
      <c r="C87" s="44">
        <v>44.31</v>
      </c>
      <c r="D87" s="55">
        <f>B87*C87/(C87+C88+C89)</f>
        <v>0.81511653918314331</v>
      </c>
      <c r="E87" s="20">
        <v>41.3</v>
      </c>
      <c r="F87" s="20">
        <v>0</v>
      </c>
      <c r="G87" s="20">
        <f t="shared" si="21"/>
        <v>41.3</v>
      </c>
      <c r="H87" s="20">
        <v>3.01</v>
      </c>
      <c r="I87" s="20">
        <v>0</v>
      </c>
      <c r="J87" s="46">
        <f t="shared" si="22"/>
        <v>0.75974527348823795</v>
      </c>
      <c r="K87" s="58">
        <f t="shared" si="23"/>
        <v>0</v>
      </c>
      <c r="L87" s="46">
        <f t="shared" si="24"/>
        <v>5.5371265694905358E-2</v>
      </c>
      <c r="M87" s="46">
        <f t="shared" si="25"/>
        <v>0</v>
      </c>
      <c r="N87" s="46">
        <f t="shared" si="26"/>
        <v>0.81511653918314331</v>
      </c>
      <c r="O87" s="46">
        <f t="shared" si="27"/>
        <v>0</v>
      </c>
      <c r="P87" s="20">
        <f t="shared" si="28"/>
        <v>0</v>
      </c>
    </row>
    <row r="88" spans="1:16" x14ac:dyDescent="0.25">
      <c r="A88" s="39" t="s">
        <v>124</v>
      </c>
      <c r="B88" s="85"/>
      <c r="C88" s="44">
        <f>G88+H88</f>
        <v>1033.96</v>
      </c>
      <c r="D88" s="55">
        <f>B87*C88/(C87+C88+C89)</f>
        <v>19.020489660433373</v>
      </c>
      <c r="E88" s="20">
        <f>393.35+590.55</f>
        <v>983.9</v>
      </c>
      <c r="F88" s="20">
        <v>0</v>
      </c>
      <c r="G88" s="20">
        <f t="shared" si="21"/>
        <v>983.9</v>
      </c>
      <c r="H88" s="20">
        <v>50.06</v>
      </c>
      <c r="I88" s="20">
        <v>0</v>
      </c>
      <c r="J88" s="46">
        <f t="shared" si="22"/>
        <v>18.09959744758056</v>
      </c>
      <c r="K88" s="58">
        <f t="shared" si="23"/>
        <v>0</v>
      </c>
      <c r="L88" s="46">
        <f t="shared" si="24"/>
        <v>0.92089221285281297</v>
      </c>
      <c r="M88" s="46">
        <f t="shared" si="25"/>
        <v>0</v>
      </c>
      <c r="N88" s="46">
        <f t="shared" si="26"/>
        <v>19.020489660433373</v>
      </c>
      <c r="O88" s="46">
        <f t="shared" si="27"/>
        <v>0</v>
      </c>
      <c r="P88" s="20">
        <f t="shared" si="28"/>
        <v>0</v>
      </c>
    </row>
    <row r="89" spans="1:16" x14ac:dyDescent="0.25">
      <c r="A89" s="39" t="s">
        <v>175</v>
      </c>
      <c r="B89" s="80"/>
      <c r="C89" s="44">
        <v>4742.09</v>
      </c>
      <c r="D89" s="55">
        <f>B87*C89/(C87+C88+C89)</f>
        <v>87.234393800383472</v>
      </c>
      <c r="E89" s="20">
        <v>4043.16</v>
      </c>
      <c r="F89" s="20">
        <v>404.5</v>
      </c>
      <c r="G89" s="20">
        <f t="shared" si="21"/>
        <v>4447.66</v>
      </c>
      <c r="H89" s="20">
        <v>294.43</v>
      </c>
      <c r="I89" s="20">
        <v>0</v>
      </c>
      <c r="J89" s="46">
        <f t="shared" si="22"/>
        <v>74.37703873987175</v>
      </c>
      <c r="K89" s="58">
        <f t="shared" si="23"/>
        <v>7.4410886955446047</v>
      </c>
      <c r="L89" s="46">
        <f t="shared" si="24"/>
        <v>4.9236748124138199</v>
      </c>
      <c r="M89" s="46">
        <f t="shared" si="25"/>
        <v>0.4925915525532974</v>
      </c>
      <c r="N89" s="46">
        <f t="shared" si="26"/>
        <v>79.300713552285572</v>
      </c>
      <c r="O89" s="46">
        <f t="shared" si="27"/>
        <v>7.9336802480979021</v>
      </c>
      <c r="P89" s="20">
        <f t="shared" si="28"/>
        <v>0</v>
      </c>
    </row>
    <row r="90" spans="1:16" x14ac:dyDescent="0.25">
      <c r="A90" s="39" t="s">
        <v>176</v>
      </c>
      <c r="B90" s="49"/>
      <c r="C90" s="44"/>
      <c r="D90" s="55">
        <v>53.365000000000009</v>
      </c>
      <c r="E90" s="20">
        <v>2264.2199999999998</v>
      </c>
      <c r="F90" s="20">
        <v>454.9</v>
      </c>
      <c r="G90" s="20">
        <f t="shared" si="21"/>
        <v>2719.12</v>
      </c>
      <c r="H90" s="20">
        <v>497.4</v>
      </c>
      <c r="I90" s="20">
        <v>0</v>
      </c>
      <c r="J90" s="46">
        <f t="shared" si="22"/>
        <v>37.565474581224436</v>
      </c>
      <c r="K90" s="58">
        <f t="shared" si="23"/>
        <v>7.547205831146707</v>
      </c>
      <c r="L90" s="46">
        <f t="shared" si="24"/>
        <v>6.8717331551020298</v>
      </c>
      <c r="M90" s="46">
        <f t="shared" si="25"/>
        <v>1.3805864325268364</v>
      </c>
      <c r="N90" s="46">
        <f t="shared" si="26"/>
        <v>44.437207736326464</v>
      </c>
      <c r="O90" s="46">
        <f t="shared" si="27"/>
        <v>8.9277922636735436</v>
      </c>
      <c r="P90" s="20">
        <f t="shared" si="28"/>
        <v>0</v>
      </c>
    </row>
    <row r="91" spans="1:16" x14ac:dyDescent="0.25">
      <c r="A91" s="39" t="s">
        <v>177</v>
      </c>
      <c r="B91" s="49"/>
      <c r="C91" s="44"/>
      <c r="D91" s="55">
        <v>55.010999999999981</v>
      </c>
      <c r="E91" s="20">
        <v>2149.4499999999998</v>
      </c>
      <c r="F91" s="20">
        <v>324.8</v>
      </c>
      <c r="G91" s="20">
        <f t="shared" si="21"/>
        <v>2474.25</v>
      </c>
      <c r="H91" s="20">
        <v>385.8</v>
      </c>
      <c r="I91" s="20">
        <v>0</v>
      </c>
      <c r="J91" s="46">
        <f t="shared" si="22"/>
        <v>41.343121256621366</v>
      </c>
      <c r="K91" s="58">
        <f t="shared" si="23"/>
        <v>6.247293858498975</v>
      </c>
      <c r="L91" s="46">
        <f t="shared" si="24"/>
        <v>6.4464691040939845</v>
      </c>
      <c r="M91" s="46">
        <f t="shared" si="25"/>
        <v>0.97411578078565508</v>
      </c>
      <c r="N91" s="46">
        <f t="shared" si="26"/>
        <v>47.789590360715351</v>
      </c>
      <c r="O91" s="46">
        <f t="shared" si="27"/>
        <v>7.2214096392846301</v>
      </c>
      <c r="P91" s="20">
        <f t="shared" si="28"/>
        <v>0</v>
      </c>
    </row>
    <row r="92" spans="1:16" x14ac:dyDescent="0.25">
      <c r="A92" s="39" t="s">
        <v>18</v>
      </c>
      <c r="B92" s="49"/>
      <c r="C92" s="44"/>
      <c r="D92" s="55">
        <f>10.55+78.1118</f>
        <v>88.661799999999999</v>
      </c>
      <c r="E92" s="20">
        <f>3461.1+56.22</f>
        <v>3517.3199999999997</v>
      </c>
      <c r="F92" s="20">
        <v>0</v>
      </c>
      <c r="G92" s="20">
        <f t="shared" si="21"/>
        <v>3517.3199999999997</v>
      </c>
      <c r="H92" s="20">
        <v>672.9</v>
      </c>
      <c r="I92" s="20">
        <v>0</v>
      </c>
      <c r="J92" s="46">
        <f t="shared" si="22"/>
        <v>74.423758746796111</v>
      </c>
      <c r="K92" s="58">
        <f t="shared" si="23"/>
        <v>0</v>
      </c>
      <c r="L92" s="46">
        <f t="shared" si="24"/>
        <v>14.238041253203889</v>
      </c>
      <c r="M92" s="46">
        <f t="shared" si="25"/>
        <v>0</v>
      </c>
      <c r="N92" s="46">
        <f t="shared" si="26"/>
        <v>88.661799999999999</v>
      </c>
      <c r="O92" s="46">
        <f t="shared" si="27"/>
        <v>0</v>
      </c>
      <c r="P92" s="20">
        <f t="shared" si="28"/>
        <v>0</v>
      </c>
    </row>
    <row r="93" spans="1:16" x14ac:dyDescent="0.25">
      <c r="A93" s="39" t="s">
        <v>86</v>
      </c>
      <c r="B93" s="79">
        <v>130.66999999999999</v>
      </c>
      <c r="C93" s="44">
        <v>3481.9</v>
      </c>
      <c r="D93" s="55">
        <f>B93*C93/(C93+C94+C95)</f>
        <v>64.701715169028262</v>
      </c>
      <c r="E93" s="20">
        <v>2693.3</v>
      </c>
      <c r="F93" s="20">
        <v>419.1</v>
      </c>
      <c r="G93" s="20">
        <f t="shared" si="21"/>
        <v>3112.4</v>
      </c>
      <c r="H93" s="20">
        <v>369.5</v>
      </c>
      <c r="I93" s="20">
        <v>0</v>
      </c>
      <c r="J93" s="46">
        <f t="shared" si="22"/>
        <v>50.047712302117759</v>
      </c>
      <c r="K93" s="58">
        <f t="shared" si="23"/>
        <v>7.7878425076365625</v>
      </c>
      <c r="L93" s="46">
        <f t="shared" si="24"/>
        <v>5.9415980258425991</v>
      </c>
      <c r="M93" s="46">
        <f t="shared" si="25"/>
        <v>0.92456233343134187</v>
      </c>
      <c r="N93" s="46">
        <f t="shared" si="26"/>
        <v>55.989310327960361</v>
      </c>
      <c r="O93" s="46">
        <f t="shared" si="27"/>
        <v>8.7124048410679045</v>
      </c>
      <c r="P93" s="20">
        <f t="shared" si="28"/>
        <v>0</v>
      </c>
    </row>
    <row r="94" spans="1:16" x14ac:dyDescent="0.25">
      <c r="A94" s="39" t="s">
        <v>87</v>
      </c>
      <c r="B94" s="85"/>
      <c r="C94" s="44">
        <v>2378.7199999999998</v>
      </c>
      <c r="D94" s="55">
        <f>B93*C94/(C93+C94+C95)</f>
        <v>44.202091934538871</v>
      </c>
      <c r="E94" s="20">
        <v>1836.62</v>
      </c>
      <c r="F94" s="20">
        <v>211.1</v>
      </c>
      <c r="G94" s="20">
        <f t="shared" si="21"/>
        <v>2047.7199999999998</v>
      </c>
      <c r="H94" s="20">
        <v>331</v>
      </c>
      <c r="I94" s="20">
        <v>0</v>
      </c>
      <c r="J94" s="46">
        <f t="shared" si="22"/>
        <v>34.128626357374046</v>
      </c>
      <c r="K94" s="58">
        <f t="shared" si="23"/>
        <v>3.9227238209546127</v>
      </c>
      <c r="L94" s="46">
        <f t="shared" si="24"/>
        <v>5.5166601509438795</v>
      </c>
      <c r="M94" s="46">
        <f t="shared" si="25"/>
        <v>0.63408160526633328</v>
      </c>
      <c r="N94" s="46">
        <f t="shared" si="26"/>
        <v>39.645286508317923</v>
      </c>
      <c r="O94" s="46">
        <f t="shared" si="27"/>
        <v>4.5568054262209463</v>
      </c>
      <c r="P94" s="20">
        <f t="shared" si="28"/>
        <v>0</v>
      </c>
    </row>
    <row r="95" spans="1:16" x14ac:dyDescent="0.25">
      <c r="A95" s="39" t="s">
        <v>88</v>
      </c>
      <c r="B95" s="80"/>
      <c r="C95" s="44">
        <v>1171.3399999999999</v>
      </c>
      <c r="D95" s="55">
        <f>B93*C95/(C93+C94+C95)</f>
        <v>21.766192896432855</v>
      </c>
      <c r="E95" s="20">
        <v>869.04</v>
      </c>
      <c r="F95" s="20">
        <v>180.3</v>
      </c>
      <c r="G95" s="20">
        <f t="shared" si="21"/>
        <v>1049.3399999999999</v>
      </c>
      <c r="H95" s="20">
        <v>122</v>
      </c>
      <c r="I95" s="20">
        <v>0</v>
      </c>
      <c r="J95" s="46">
        <f t="shared" si="22"/>
        <v>16.148763189779235</v>
      </c>
      <c r="K95" s="58">
        <f t="shared" si="23"/>
        <v>3.3503889385036323</v>
      </c>
      <c r="L95" s="46">
        <f t="shared" si="24"/>
        <v>1.8775126357072691</v>
      </c>
      <c r="M95" s="46">
        <f t="shared" si="25"/>
        <v>0.38952813244271917</v>
      </c>
      <c r="N95" s="46">
        <f t="shared" si="26"/>
        <v>18.026275825486504</v>
      </c>
      <c r="O95" s="46">
        <f t="shared" si="27"/>
        <v>3.7399170709463516</v>
      </c>
      <c r="P95" s="20">
        <f t="shared" si="28"/>
        <v>0</v>
      </c>
    </row>
    <row r="96" spans="1:16" x14ac:dyDescent="0.25">
      <c r="A96" s="39" t="s">
        <v>178</v>
      </c>
      <c r="B96" s="49"/>
      <c r="C96" s="44"/>
      <c r="D96" s="55">
        <v>95.139999999999972</v>
      </c>
      <c r="E96" s="20">
        <v>4145.88</v>
      </c>
      <c r="F96" s="20">
        <v>0</v>
      </c>
      <c r="G96" s="20">
        <f t="shared" si="21"/>
        <v>4145.88</v>
      </c>
      <c r="H96" s="20">
        <v>494.8</v>
      </c>
      <c r="I96" s="20">
        <v>0</v>
      </c>
      <c r="J96" s="46">
        <f t="shared" si="22"/>
        <v>84.995953868829531</v>
      </c>
      <c r="K96" s="58">
        <f t="shared" si="23"/>
        <v>0</v>
      </c>
      <c r="L96" s="46">
        <f t="shared" si="24"/>
        <v>10.144046131170441</v>
      </c>
      <c r="M96" s="46">
        <f t="shared" si="25"/>
        <v>0</v>
      </c>
      <c r="N96" s="46">
        <f t="shared" si="26"/>
        <v>95.139999999999972</v>
      </c>
      <c r="O96" s="46">
        <f t="shared" si="27"/>
        <v>0</v>
      </c>
      <c r="P96" s="20">
        <f t="shared" si="28"/>
        <v>0</v>
      </c>
    </row>
    <row r="97" spans="1:16" x14ac:dyDescent="0.25">
      <c r="A97" s="39" t="s">
        <v>19</v>
      </c>
      <c r="B97" s="79">
        <v>105.04</v>
      </c>
      <c r="C97" s="44">
        <v>4310.1899999999996</v>
      </c>
      <c r="D97" s="55">
        <f>B97*C97/(C97+C98)</f>
        <v>85.54559408662594</v>
      </c>
      <c r="E97" s="20">
        <v>2988.99</v>
      </c>
      <c r="F97" s="20">
        <v>802.3</v>
      </c>
      <c r="G97" s="20">
        <f t="shared" si="21"/>
        <v>3791.29</v>
      </c>
      <c r="H97" s="20">
        <v>518.9</v>
      </c>
      <c r="I97" s="20">
        <v>0</v>
      </c>
      <c r="J97" s="46">
        <f t="shared" si="22"/>
        <v>59.323353557264085</v>
      </c>
      <c r="K97" s="58">
        <f t="shared" si="23"/>
        <v>15.923481362932955</v>
      </c>
      <c r="L97" s="46">
        <f t="shared" si="24"/>
        <v>8.1193704941759428</v>
      </c>
      <c r="M97" s="46">
        <f t="shared" si="25"/>
        <v>2.179388672252955</v>
      </c>
      <c r="N97" s="46">
        <f t="shared" si="26"/>
        <v>67.442724051440024</v>
      </c>
      <c r="O97" s="46">
        <f t="shared" si="27"/>
        <v>18.102870035185909</v>
      </c>
      <c r="P97" s="20">
        <f t="shared" si="28"/>
        <v>0</v>
      </c>
    </row>
    <row r="98" spans="1:16" x14ac:dyDescent="0.25">
      <c r="A98" s="39" t="s">
        <v>20</v>
      </c>
      <c r="B98" s="80"/>
      <c r="C98" s="44">
        <v>982.22</v>
      </c>
      <c r="D98" s="55">
        <f>B97*C98/(C97+C98)</f>
        <v>19.494405913374063</v>
      </c>
      <c r="E98" s="20">
        <v>732.56</v>
      </c>
      <c r="F98" s="20">
        <v>136.86000000000001</v>
      </c>
      <c r="G98" s="20">
        <f t="shared" si="21"/>
        <v>869.42</v>
      </c>
      <c r="H98" s="20">
        <v>112.8</v>
      </c>
      <c r="I98" s="20">
        <v>0</v>
      </c>
      <c r="J98" s="46">
        <f t="shared" si="22"/>
        <v>14.539331306531432</v>
      </c>
      <c r="K98" s="58">
        <f t="shared" si="23"/>
        <v>2.7163002110569674</v>
      </c>
      <c r="L98" s="46">
        <f t="shared" si="24"/>
        <v>1.8863570787154029</v>
      </c>
      <c r="M98" s="46">
        <f t="shared" si="25"/>
        <v>0.35241731707026058</v>
      </c>
      <c r="N98" s="46">
        <f t="shared" si="26"/>
        <v>16.425688385246836</v>
      </c>
      <c r="O98" s="46">
        <f t="shared" si="27"/>
        <v>3.0687175281272281</v>
      </c>
      <c r="P98" s="20">
        <f t="shared" si="28"/>
        <v>0</v>
      </c>
    </row>
    <row r="99" spans="1:16" x14ac:dyDescent="0.25">
      <c r="A99" s="39" t="s">
        <v>21</v>
      </c>
      <c r="B99" s="49"/>
      <c r="C99" s="44"/>
      <c r="D99" s="55">
        <v>48.61</v>
      </c>
      <c r="E99" s="20">
        <f>28.76+2387.61</f>
        <v>2416.3700000000003</v>
      </c>
      <c r="F99" s="20">
        <v>190.2</v>
      </c>
      <c r="G99" s="20">
        <f t="shared" si="21"/>
        <v>2606.5700000000002</v>
      </c>
      <c r="H99" s="20">
        <v>236.1</v>
      </c>
      <c r="I99" s="20">
        <v>0</v>
      </c>
      <c r="J99" s="46">
        <f t="shared" si="22"/>
        <v>41.320218562126456</v>
      </c>
      <c r="K99" s="58">
        <f t="shared" si="23"/>
        <v>3.2524429497620191</v>
      </c>
      <c r="L99" s="46">
        <f t="shared" si="24"/>
        <v>3.7427360870868789</v>
      </c>
      <c r="M99" s="46">
        <f t="shared" si="25"/>
        <v>0.29460240102464613</v>
      </c>
      <c r="N99" s="46">
        <f t="shared" si="26"/>
        <v>45.062954649213339</v>
      </c>
      <c r="O99" s="46">
        <f t="shared" si="27"/>
        <v>3.5470453507866653</v>
      </c>
      <c r="P99" s="20">
        <f t="shared" si="28"/>
        <v>0</v>
      </c>
    </row>
    <row r="100" spans="1:16" x14ac:dyDescent="0.25">
      <c r="A100" s="39" t="s">
        <v>179</v>
      </c>
      <c r="B100" s="49"/>
      <c r="C100" s="44"/>
      <c r="D100" s="55">
        <v>64.515799999999984</v>
      </c>
      <c r="E100" s="20">
        <v>2117.59</v>
      </c>
      <c r="F100" s="20">
        <v>925.4</v>
      </c>
      <c r="G100" s="20">
        <f t="shared" si="21"/>
        <v>3042.9900000000002</v>
      </c>
      <c r="H100" s="20">
        <v>487</v>
      </c>
      <c r="I100" s="20">
        <v>0</v>
      </c>
      <c r="J100" s="46">
        <f t="shared" si="22"/>
        <v>38.702096301122658</v>
      </c>
      <c r="K100" s="58">
        <f t="shared" si="23"/>
        <v>16.913056784863407</v>
      </c>
      <c r="L100" s="46">
        <f t="shared" si="24"/>
        <v>6.1938819709058306</v>
      </c>
      <c r="M100" s="46">
        <f t="shared" si="25"/>
        <v>2.7067649431080878</v>
      </c>
      <c r="N100" s="46">
        <f t="shared" si="26"/>
        <v>44.895978272028486</v>
      </c>
      <c r="O100" s="46">
        <f t="shared" si="27"/>
        <v>19.619821727971495</v>
      </c>
      <c r="P100" s="20">
        <f t="shared" si="28"/>
        <v>0</v>
      </c>
    </row>
    <row r="101" spans="1:16" x14ac:dyDescent="0.25">
      <c r="A101" s="39" t="s">
        <v>180</v>
      </c>
      <c r="B101" s="49"/>
      <c r="C101" s="44"/>
      <c r="D101" s="55">
        <v>148.67184648814836</v>
      </c>
      <c r="E101" s="20">
        <v>7289.38</v>
      </c>
      <c r="F101" s="20">
        <v>817.2</v>
      </c>
      <c r="G101" s="20">
        <f t="shared" si="21"/>
        <v>8106.58</v>
      </c>
      <c r="H101" s="20">
        <v>1929.4</v>
      </c>
      <c r="I101" s="20">
        <v>0</v>
      </c>
      <c r="J101" s="46">
        <f t="shared" si="22"/>
        <v>107.98403188864256</v>
      </c>
      <c r="K101" s="58">
        <f t="shared" si="23"/>
        <v>12.105906244344334</v>
      </c>
      <c r="L101" s="46">
        <f t="shared" si="24"/>
        <v>25.700651955071915</v>
      </c>
      <c r="M101" s="46">
        <f t="shared" si="25"/>
        <v>2.8812564000895513</v>
      </c>
      <c r="N101" s="46">
        <f t="shared" si="26"/>
        <v>133.68468384371448</v>
      </c>
      <c r="O101" s="46">
        <f t="shared" si="27"/>
        <v>14.987162644433885</v>
      </c>
      <c r="P101" s="20">
        <f t="shared" si="28"/>
        <v>0</v>
      </c>
    </row>
    <row r="102" spans="1:16" x14ac:dyDescent="0.25">
      <c r="A102" s="39" t="s">
        <v>22</v>
      </c>
      <c r="B102" s="79">
        <v>70.42</v>
      </c>
      <c r="C102" s="44">
        <v>1953.27</v>
      </c>
      <c r="D102" s="55">
        <f>B102*C102/(C102+C103)</f>
        <v>37.588033360751382</v>
      </c>
      <c r="E102" s="20">
        <v>1521.57</v>
      </c>
      <c r="F102" s="20">
        <v>139</v>
      </c>
      <c r="G102" s="20">
        <f t="shared" si="21"/>
        <v>1660.57</v>
      </c>
      <c r="H102" s="20">
        <v>292.7</v>
      </c>
      <c r="I102" s="20">
        <v>0</v>
      </c>
      <c r="J102" s="46">
        <f t="shared" si="22"/>
        <v>29.28055205922298</v>
      </c>
      <c r="K102" s="58">
        <f t="shared" si="23"/>
        <v>2.6748665761233426</v>
      </c>
      <c r="L102" s="46">
        <f t="shared" si="24"/>
        <v>5.1611299660565804</v>
      </c>
      <c r="M102" s="46">
        <f t="shared" si="25"/>
        <v>0.47148475934847867</v>
      </c>
      <c r="N102" s="46">
        <f t="shared" si="26"/>
        <v>34.441682025279562</v>
      </c>
      <c r="O102" s="46">
        <f t="shared" si="27"/>
        <v>3.1463513354718211</v>
      </c>
      <c r="P102" s="20">
        <f t="shared" si="28"/>
        <v>0</v>
      </c>
    </row>
    <row r="103" spans="1:16" x14ac:dyDescent="0.25">
      <c r="A103" s="39" t="s">
        <v>23</v>
      </c>
      <c r="B103" s="80"/>
      <c r="C103" s="44">
        <v>1706.12</v>
      </c>
      <c r="D103" s="55">
        <f>B102*C103/(C102+C103)</f>
        <v>32.83196663924862</v>
      </c>
      <c r="E103" s="20">
        <v>1339.62</v>
      </c>
      <c r="F103" s="20">
        <v>107.5</v>
      </c>
      <c r="G103" s="20">
        <f t="shared" si="21"/>
        <v>1447.12</v>
      </c>
      <c r="H103" s="20">
        <v>259</v>
      </c>
      <c r="I103" s="20">
        <v>0</v>
      </c>
      <c r="J103" s="46">
        <f t="shared" si="22"/>
        <v>25.779170954721963</v>
      </c>
      <c r="K103" s="58">
        <f t="shared" si="23"/>
        <v>2.0686917764982691</v>
      </c>
      <c r="L103" s="46">
        <f t="shared" si="24"/>
        <v>4.6138573699990246</v>
      </c>
      <c r="M103" s="46">
        <f t="shared" si="25"/>
        <v>0.37024653802936291</v>
      </c>
      <c r="N103" s="46">
        <f t="shared" si="26"/>
        <v>30.393028324720987</v>
      </c>
      <c r="O103" s="46">
        <f t="shared" si="27"/>
        <v>2.4389383145276318</v>
      </c>
      <c r="P103" s="20">
        <f t="shared" si="28"/>
        <v>0</v>
      </c>
    </row>
    <row r="104" spans="1:16" x14ac:dyDescent="0.25">
      <c r="A104" s="39" t="s">
        <v>181</v>
      </c>
      <c r="B104" s="49"/>
      <c r="C104" s="44"/>
      <c r="D104" s="55">
        <v>69.940000000000012</v>
      </c>
      <c r="E104" s="20">
        <v>2904.42</v>
      </c>
      <c r="F104" s="20">
        <v>0</v>
      </c>
      <c r="G104" s="20">
        <f t="shared" si="21"/>
        <v>2904.42</v>
      </c>
      <c r="H104" s="20">
        <v>357.3</v>
      </c>
      <c r="I104" s="20">
        <v>0</v>
      </c>
      <c r="J104" s="46">
        <f t="shared" si="22"/>
        <v>62.278532430742068</v>
      </c>
      <c r="K104" s="58">
        <f t="shared" si="23"/>
        <v>0</v>
      </c>
      <c r="L104" s="46">
        <f t="shared" si="24"/>
        <v>7.6614675692579439</v>
      </c>
      <c r="M104" s="46">
        <f t="shared" si="25"/>
        <v>0</v>
      </c>
      <c r="N104" s="46">
        <f t="shared" si="26"/>
        <v>69.940000000000012</v>
      </c>
      <c r="O104" s="46">
        <f t="shared" si="27"/>
        <v>0</v>
      </c>
      <c r="P104" s="20">
        <f t="shared" si="28"/>
        <v>0</v>
      </c>
    </row>
    <row r="105" spans="1:16" x14ac:dyDescent="0.25">
      <c r="A105" s="39" t="s">
        <v>24</v>
      </c>
      <c r="B105" s="49"/>
      <c r="C105" s="44"/>
      <c r="D105" s="55">
        <v>64.928200000000004</v>
      </c>
      <c r="E105" s="20">
        <v>2563.5100000000002</v>
      </c>
      <c r="F105" s="20">
        <v>0</v>
      </c>
      <c r="G105" s="20">
        <f t="shared" si="21"/>
        <v>2563.5100000000002</v>
      </c>
      <c r="H105" s="20">
        <v>443.4</v>
      </c>
      <c r="I105" s="20">
        <v>0</v>
      </c>
      <c r="J105" s="46">
        <f t="shared" si="22"/>
        <v>55.353864925122473</v>
      </c>
      <c r="K105" s="58">
        <f t="shared" si="23"/>
        <v>0</v>
      </c>
      <c r="L105" s="46">
        <f t="shared" si="24"/>
        <v>9.5743350748775313</v>
      </c>
      <c r="M105" s="46">
        <f t="shared" si="25"/>
        <v>0</v>
      </c>
      <c r="N105" s="46">
        <f t="shared" si="26"/>
        <v>64.928200000000004</v>
      </c>
      <c r="O105" s="46">
        <f t="shared" si="27"/>
        <v>0</v>
      </c>
      <c r="P105" s="20">
        <f t="shared" si="28"/>
        <v>0</v>
      </c>
    </row>
    <row r="106" spans="1:16" x14ac:dyDescent="0.25">
      <c r="A106" s="39" t="s">
        <v>182</v>
      </c>
      <c r="B106" s="49"/>
      <c r="C106" s="44"/>
      <c r="D106" s="55">
        <v>263.59000000000003</v>
      </c>
      <c r="E106" s="20">
        <v>11019.38</v>
      </c>
      <c r="F106" s="20">
        <v>18.5</v>
      </c>
      <c r="G106" s="20">
        <f t="shared" si="21"/>
        <v>11037.88</v>
      </c>
      <c r="H106" s="20">
        <v>1592.7</v>
      </c>
      <c r="I106" s="20">
        <v>0</v>
      </c>
      <c r="J106" s="46">
        <f t="shared" si="22"/>
        <v>229.96555773369079</v>
      </c>
      <c r="K106" s="58">
        <f t="shared" si="23"/>
        <v>0.3860800533308843</v>
      </c>
      <c r="L106" s="46">
        <f t="shared" si="24"/>
        <v>33.182653172751422</v>
      </c>
      <c r="M106" s="46">
        <f t="shared" si="25"/>
        <v>5.5709040226936658E-2</v>
      </c>
      <c r="N106" s="46">
        <f t="shared" si="26"/>
        <v>263.14821090644222</v>
      </c>
      <c r="O106" s="46">
        <f t="shared" si="27"/>
        <v>0.44178909355782098</v>
      </c>
      <c r="P106" s="20">
        <f t="shared" si="28"/>
        <v>0</v>
      </c>
    </row>
    <row r="107" spans="1:16" x14ac:dyDescent="0.25">
      <c r="A107" s="39" t="s">
        <v>183</v>
      </c>
      <c r="B107" s="49"/>
      <c r="C107" s="44"/>
      <c r="D107" s="55">
        <v>148.15800000000002</v>
      </c>
      <c r="E107" s="20">
        <v>4711.1000000000004</v>
      </c>
      <c r="F107" s="20">
        <v>631.9</v>
      </c>
      <c r="G107" s="20">
        <f t="shared" si="21"/>
        <v>5343</v>
      </c>
      <c r="H107" s="20">
        <v>1130.3</v>
      </c>
      <c r="I107" s="20">
        <v>0</v>
      </c>
      <c r="J107" s="46">
        <f t="shared" si="22"/>
        <v>107.82555324177777</v>
      </c>
      <c r="K107" s="58">
        <f t="shared" si="23"/>
        <v>14.462645049665548</v>
      </c>
      <c r="L107" s="46">
        <f t="shared" si="24"/>
        <v>22.810260682983621</v>
      </c>
      <c r="M107" s="46">
        <f t="shared" si="25"/>
        <v>3.0595410255730822</v>
      </c>
      <c r="N107" s="46">
        <f t="shared" si="26"/>
        <v>130.63581392476138</v>
      </c>
      <c r="O107" s="46">
        <f t="shared" si="27"/>
        <v>17.522186075238629</v>
      </c>
      <c r="P107" s="20">
        <f t="shared" si="28"/>
        <v>0</v>
      </c>
    </row>
    <row r="108" spans="1:16" x14ac:dyDescent="0.25">
      <c r="A108" s="39" t="s">
        <v>133</v>
      </c>
      <c r="B108" s="79">
        <v>144.74</v>
      </c>
      <c r="C108" s="44">
        <v>2345.23</v>
      </c>
      <c r="D108" s="55">
        <f>B108*C108/(C108+C109+C110+C111)</f>
        <v>48.375242119484284</v>
      </c>
      <c r="E108" s="20">
        <v>2059.9699999999998</v>
      </c>
      <c r="F108" s="20">
        <v>15.9</v>
      </c>
      <c r="G108" s="20">
        <f t="shared" si="21"/>
        <v>2075.87</v>
      </c>
      <c r="H108" s="20">
        <v>269.36</v>
      </c>
      <c r="I108" s="20">
        <v>0</v>
      </c>
      <c r="J108" s="46">
        <f t="shared" si="22"/>
        <v>42.491161851449128</v>
      </c>
      <c r="K108" s="58">
        <f t="shared" si="23"/>
        <v>0.32797054007487547</v>
      </c>
      <c r="L108" s="46">
        <f t="shared" si="24"/>
        <v>5.5135530434498978</v>
      </c>
      <c r="M108" s="46">
        <f t="shared" si="25"/>
        <v>4.2556684510382858E-2</v>
      </c>
      <c r="N108" s="46">
        <f t="shared" si="26"/>
        <v>48.004714894899024</v>
      </c>
      <c r="O108" s="46">
        <f t="shared" si="27"/>
        <v>0.37052722458525833</v>
      </c>
      <c r="P108" s="20">
        <f t="shared" si="28"/>
        <v>0</v>
      </c>
    </row>
    <row r="109" spans="1:16" x14ac:dyDescent="0.25">
      <c r="A109" s="39" t="s">
        <v>137</v>
      </c>
      <c r="B109" s="85"/>
      <c r="C109" s="44">
        <v>883.32</v>
      </c>
      <c r="D109" s="55">
        <f>B108*C109/(C108+C109+C110+C111)</f>
        <v>18.220310532008742</v>
      </c>
      <c r="E109" s="20">
        <v>270.98</v>
      </c>
      <c r="F109" s="20">
        <v>576.9</v>
      </c>
      <c r="G109" s="20">
        <f t="shared" si="21"/>
        <v>847.88</v>
      </c>
      <c r="H109" s="20">
        <v>35.44</v>
      </c>
      <c r="I109" s="20">
        <v>0</v>
      </c>
      <c r="J109" s="46">
        <f t="shared" si="22"/>
        <v>5.589525594307533</v>
      </c>
      <c r="K109" s="58">
        <f t="shared" si="23"/>
        <v>11.899761293660106</v>
      </c>
      <c r="L109" s="46">
        <f t="shared" si="24"/>
        <v>0.23363304602332671</v>
      </c>
      <c r="M109" s="46">
        <f t="shared" si="25"/>
        <v>0.49739059801777685</v>
      </c>
      <c r="N109" s="46">
        <f t="shared" si="26"/>
        <v>5.8231586403308597</v>
      </c>
      <c r="O109" s="46">
        <f t="shared" si="27"/>
        <v>12.397151891677883</v>
      </c>
      <c r="P109" s="20">
        <f t="shared" si="28"/>
        <v>0</v>
      </c>
    </row>
    <row r="110" spans="1:16" x14ac:dyDescent="0.25">
      <c r="A110" s="39" t="s">
        <v>134</v>
      </c>
      <c r="B110" s="85"/>
      <c r="C110" s="44">
        <v>803.14</v>
      </c>
      <c r="D110" s="55">
        <f>B108*C110/(C108+C109+C110+C111)</f>
        <v>16.566431418599713</v>
      </c>
      <c r="E110" s="20">
        <v>622.64</v>
      </c>
      <c r="F110" s="20">
        <v>85.5</v>
      </c>
      <c r="G110" s="20">
        <f t="shared" si="21"/>
        <v>708.14</v>
      </c>
      <c r="H110" s="20">
        <v>95</v>
      </c>
      <c r="I110" s="20">
        <v>0</v>
      </c>
      <c r="J110" s="46">
        <f t="shared" si="22"/>
        <v>12.843243841020151</v>
      </c>
      <c r="K110" s="58">
        <f t="shared" si="23"/>
        <v>1.7636151683271601</v>
      </c>
      <c r="L110" s="46">
        <f t="shared" si="24"/>
        <v>1.7229759156337952</v>
      </c>
      <c r="M110" s="46">
        <f t="shared" si="25"/>
        <v>0.23659649361860705</v>
      </c>
      <c r="N110" s="46">
        <f t="shared" si="26"/>
        <v>14.566219756653945</v>
      </c>
      <c r="O110" s="46">
        <f t="shared" si="27"/>
        <v>2.0002116619457673</v>
      </c>
      <c r="P110" s="20">
        <f t="shared" si="28"/>
        <v>0</v>
      </c>
    </row>
    <row r="111" spans="1:16" x14ac:dyDescent="0.25">
      <c r="A111" s="39" t="s">
        <v>135</v>
      </c>
      <c r="B111" s="80"/>
      <c r="C111" s="44">
        <v>2985.3</v>
      </c>
      <c r="D111" s="55">
        <f>B108*C111/(C108+C109+C110+C111)</f>
        <v>61.578015929907274</v>
      </c>
      <c r="E111" s="20">
        <v>2258.6999999999998</v>
      </c>
      <c r="F111" s="20">
        <v>360.9</v>
      </c>
      <c r="G111" s="20">
        <f t="shared" si="21"/>
        <v>2619.6</v>
      </c>
      <c r="H111" s="20">
        <v>365.7</v>
      </c>
      <c r="I111" s="20">
        <v>0</v>
      </c>
      <c r="J111" s="46">
        <f t="shared" si="22"/>
        <v>46.59038106082523</v>
      </c>
      <c r="K111" s="58">
        <f t="shared" si="23"/>
        <v>7.4443124473599083</v>
      </c>
      <c r="L111" s="46">
        <f t="shared" si="24"/>
        <v>6.5040854916566593</v>
      </c>
      <c r="M111" s="46">
        <f t="shared" si="25"/>
        <v>1.0392369300654749</v>
      </c>
      <c r="N111" s="46">
        <f t="shared" si="26"/>
        <v>53.09446655248189</v>
      </c>
      <c r="O111" s="46">
        <f t="shared" si="27"/>
        <v>8.4835493774253834</v>
      </c>
      <c r="P111" s="20">
        <f t="shared" si="28"/>
        <v>0</v>
      </c>
    </row>
    <row r="112" spans="1:16" x14ac:dyDescent="0.25">
      <c r="A112" s="39" t="s">
        <v>25</v>
      </c>
      <c r="B112" s="49"/>
      <c r="C112" s="44"/>
      <c r="D112" s="55">
        <v>731.76</v>
      </c>
      <c r="E112" s="20">
        <f>29159.41+17.63</f>
        <v>29177.040000000001</v>
      </c>
      <c r="F112" s="20">
        <v>0</v>
      </c>
      <c r="G112" s="20">
        <f t="shared" si="21"/>
        <v>29177.040000000001</v>
      </c>
      <c r="H112" s="20">
        <v>4209.05</v>
      </c>
      <c r="I112" s="20">
        <v>0</v>
      </c>
      <c r="J112" s="46">
        <f t="shared" si="22"/>
        <v>639.50557823333008</v>
      </c>
      <c r="K112" s="58">
        <f t="shared" si="23"/>
        <v>0</v>
      </c>
      <c r="L112" s="46">
        <f t="shared" si="24"/>
        <v>92.254421766669907</v>
      </c>
      <c r="M112" s="46">
        <f t="shared" si="25"/>
        <v>0</v>
      </c>
      <c r="N112" s="46">
        <f t="shared" si="26"/>
        <v>731.76</v>
      </c>
      <c r="O112" s="46">
        <f t="shared" si="27"/>
        <v>0</v>
      </c>
      <c r="P112" s="20">
        <f t="shared" si="28"/>
        <v>0</v>
      </c>
    </row>
    <row r="113" spans="1:16" x14ac:dyDescent="0.25">
      <c r="A113" s="39" t="s">
        <v>70</v>
      </c>
      <c r="B113" s="79">
        <f>261.75+123.15+125.68+188.95+225.4+138.64+163.51+233.04</f>
        <v>1460.12</v>
      </c>
      <c r="C113" s="44">
        <v>29320.67</v>
      </c>
      <c r="D113" s="55">
        <f>B113*C113/(C113+C114)</f>
        <v>689.02472151049597</v>
      </c>
      <c r="E113" s="20">
        <v>25774.97</v>
      </c>
      <c r="F113" s="20">
        <v>0</v>
      </c>
      <c r="G113" s="20">
        <f t="shared" si="21"/>
        <v>25774.97</v>
      </c>
      <c r="H113" s="20">
        <v>3545.7</v>
      </c>
      <c r="I113" s="20">
        <v>0</v>
      </c>
      <c r="J113" s="46">
        <f t="shared" si="22"/>
        <v>605.7021045628012</v>
      </c>
      <c r="K113" s="58">
        <f t="shared" si="23"/>
        <v>0</v>
      </c>
      <c r="L113" s="46">
        <f t="shared" si="24"/>
        <v>83.322616947694769</v>
      </c>
      <c r="M113" s="46">
        <f t="shared" si="25"/>
        <v>0</v>
      </c>
      <c r="N113" s="46">
        <f t="shared" si="26"/>
        <v>689.02472151049597</v>
      </c>
      <c r="O113" s="46">
        <f t="shared" si="27"/>
        <v>0</v>
      </c>
      <c r="P113" s="20">
        <f t="shared" si="28"/>
        <v>0</v>
      </c>
    </row>
    <row r="114" spans="1:16" x14ac:dyDescent="0.25">
      <c r="A114" s="39" t="s">
        <v>78</v>
      </c>
      <c r="B114" s="80"/>
      <c r="C114" s="44">
        <v>32813.089999999997</v>
      </c>
      <c r="D114" s="55">
        <f>B113*C114/(C113+C114)</f>
        <v>771.09527848950381</v>
      </c>
      <c r="E114" s="20">
        <v>29066.89</v>
      </c>
      <c r="F114" s="20">
        <v>0</v>
      </c>
      <c r="G114" s="20">
        <f t="shared" si="21"/>
        <v>29066.89</v>
      </c>
      <c r="H114" s="20">
        <v>3746.2</v>
      </c>
      <c r="I114" s="20">
        <v>0</v>
      </c>
      <c r="J114" s="46">
        <f t="shared" si="22"/>
        <v>683.06098692240732</v>
      </c>
      <c r="K114" s="58">
        <f t="shared" si="23"/>
        <v>0</v>
      </c>
      <c r="L114" s="46">
        <f t="shared" si="24"/>
        <v>88.034291567096489</v>
      </c>
      <c r="M114" s="46">
        <f t="shared" si="25"/>
        <v>0</v>
      </c>
      <c r="N114" s="46">
        <f t="shared" si="26"/>
        <v>771.09527848950381</v>
      </c>
      <c r="O114" s="46">
        <f t="shared" si="27"/>
        <v>0</v>
      </c>
      <c r="P114" s="20">
        <f t="shared" si="28"/>
        <v>0</v>
      </c>
    </row>
    <row r="115" spans="1:16" x14ac:dyDescent="0.25">
      <c r="A115" s="39" t="s">
        <v>26</v>
      </c>
      <c r="B115" s="49"/>
      <c r="C115" s="44"/>
      <c r="D115" s="55">
        <v>305.31</v>
      </c>
      <c r="E115" s="20">
        <v>10717.05</v>
      </c>
      <c r="F115" s="20">
        <v>0</v>
      </c>
      <c r="G115" s="20">
        <f t="shared" si="21"/>
        <v>10717.05</v>
      </c>
      <c r="H115" s="20">
        <v>1806</v>
      </c>
      <c r="I115" s="20">
        <v>0</v>
      </c>
      <c r="J115" s="46">
        <f t="shared" si="22"/>
        <v>261.28000251536167</v>
      </c>
      <c r="K115" s="58">
        <f t="shared" si="23"/>
        <v>0</v>
      </c>
      <c r="L115" s="46">
        <f t="shared" si="24"/>
        <v>44.029997484638329</v>
      </c>
      <c r="M115" s="46">
        <f t="shared" si="25"/>
        <v>0</v>
      </c>
      <c r="N115" s="46">
        <f t="shared" si="26"/>
        <v>305.31</v>
      </c>
      <c r="O115" s="46">
        <f t="shared" si="27"/>
        <v>0</v>
      </c>
      <c r="P115" s="20">
        <f t="shared" si="28"/>
        <v>0</v>
      </c>
    </row>
    <row r="116" spans="1:16" x14ac:dyDescent="0.25">
      <c r="A116" s="39" t="s">
        <v>27</v>
      </c>
      <c r="B116" s="49"/>
      <c r="C116" s="44"/>
      <c r="D116" s="55">
        <f>214.88+144.21+106.87+112.42+243.97</f>
        <v>822.35</v>
      </c>
      <c r="E116" s="20">
        <f>28277.21+37.55</f>
        <v>28314.76</v>
      </c>
      <c r="F116" s="20">
        <v>0</v>
      </c>
      <c r="G116" s="20">
        <f t="shared" si="21"/>
        <v>28314.76</v>
      </c>
      <c r="H116" s="20">
        <v>3889.4</v>
      </c>
      <c r="I116" s="20">
        <v>0</v>
      </c>
      <c r="J116" s="46">
        <f t="shared" si="22"/>
        <v>723.03214510175076</v>
      </c>
      <c r="K116" s="58">
        <f t="shared" si="23"/>
        <v>0</v>
      </c>
      <c r="L116" s="46">
        <f t="shared" si="24"/>
        <v>99.317854898249266</v>
      </c>
      <c r="M116" s="46">
        <f t="shared" si="25"/>
        <v>0</v>
      </c>
      <c r="N116" s="46">
        <f t="shared" si="26"/>
        <v>822.35</v>
      </c>
      <c r="O116" s="46">
        <f t="shared" si="27"/>
        <v>0</v>
      </c>
      <c r="P116" s="20">
        <f t="shared" si="28"/>
        <v>0</v>
      </c>
    </row>
    <row r="117" spans="1:16" x14ac:dyDescent="0.25">
      <c r="A117" s="39" t="s">
        <v>58</v>
      </c>
      <c r="B117" s="49"/>
      <c r="C117" s="44"/>
      <c r="D117" s="55">
        <v>113.06500000000001</v>
      </c>
      <c r="E117" s="20">
        <v>3255.67</v>
      </c>
      <c r="F117" s="20">
        <v>827.2</v>
      </c>
      <c r="G117" s="20">
        <f t="shared" si="21"/>
        <v>4082.87</v>
      </c>
      <c r="H117" s="20">
        <v>455.8</v>
      </c>
      <c r="I117" s="20">
        <v>0</v>
      </c>
      <c r="J117" s="46">
        <f t="shared" si="22"/>
        <v>81.103567465799458</v>
      </c>
      <c r="K117" s="58">
        <f t="shared" si="23"/>
        <v>20.606778637794775</v>
      </c>
      <c r="L117" s="46">
        <f t="shared" si="24"/>
        <v>9.0541717103193111</v>
      </c>
      <c r="M117" s="46">
        <f t="shared" si="25"/>
        <v>2.300482186086469</v>
      </c>
      <c r="N117" s="46">
        <f t="shared" si="26"/>
        <v>90.157739176118767</v>
      </c>
      <c r="O117" s="46">
        <f t="shared" si="27"/>
        <v>22.907260823881245</v>
      </c>
      <c r="P117" s="20">
        <f>D117-(N117+O117)</f>
        <v>0</v>
      </c>
    </row>
    <row r="118" spans="1:16" x14ac:dyDescent="0.25">
      <c r="A118" s="39" t="s">
        <v>117</v>
      </c>
      <c r="B118" s="79">
        <v>46.75</v>
      </c>
      <c r="C118" s="44">
        <v>1821.45</v>
      </c>
      <c r="D118" s="55">
        <f>B118*C118/(C118+C119)</f>
        <v>33.851506471925838</v>
      </c>
      <c r="E118" s="20">
        <v>1540.96</v>
      </c>
      <c r="F118" s="20">
        <v>64.5</v>
      </c>
      <c r="G118" s="20">
        <f t="shared" si="21"/>
        <v>1605.46</v>
      </c>
      <c r="H118" s="20">
        <v>215.99</v>
      </c>
      <c r="I118" s="20">
        <v>0</v>
      </c>
      <c r="J118" s="46">
        <f t="shared" si="22"/>
        <v>28.638621654714012</v>
      </c>
      <c r="K118" s="58">
        <f t="shared" si="23"/>
        <v>1.1987274794472627</v>
      </c>
      <c r="L118" s="46">
        <f t="shared" si="24"/>
        <v>3.8528869552662055</v>
      </c>
      <c r="M118" s="46">
        <f t="shared" si="25"/>
        <v>0.16127038249835834</v>
      </c>
      <c r="N118" s="46">
        <f t="shared" si="26"/>
        <v>32.491508609980215</v>
      </c>
      <c r="O118" s="46">
        <f t="shared" si="27"/>
        <v>1.359997861945621</v>
      </c>
      <c r="P118" s="20">
        <f t="shared" si="28"/>
        <v>0</v>
      </c>
    </row>
    <row r="119" spans="1:16" x14ac:dyDescent="0.25">
      <c r="A119" s="39" t="s">
        <v>79</v>
      </c>
      <c r="B119" s="80"/>
      <c r="C119" s="44">
        <v>694.03</v>
      </c>
      <c r="D119" s="55">
        <f>B118*C119/(C118+C119)</f>
        <v>12.898493528074164</v>
      </c>
      <c r="E119" s="20">
        <v>528.12</v>
      </c>
      <c r="F119" s="20">
        <v>92.9</v>
      </c>
      <c r="G119" s="20">
        <f t="shared" si="21"/>
        <v>621.02</v>
      </c>
      <c r="H119" s="20">
        <v>74.010000000000005</v>
      </c>
      <c r="I119" s="20">
        <v>0</v>
      </c>
      <c r="J119" s="46">
        <f t="shared" si="22"/>
        <v>9.8009473001834841</v>
      </c>
      <c r="K119" s="58">
        <f t="shared" si="23"/>
        <v>1.7240551469117733</v>
      </c>
      <c r="L119" s="46">
        <f t="shared" si="24"/>
        <v>1.1680269712514575</v>
      </c>
      <c r="M119" s="46">
        <f t="shared" si="25"/>
        <v>0.20546410972744911</v>
      </c>
      <c r="N119" s="46">
        <f t="shared" si="26"/>
        <v>10.968974271434941</v>
      </c>
      <c r="O119" s="46">
        <f t="shared" si="27"/>
        <v>1.9295192566392223</v>
      </c>
      <c r="P119" s="20">
        <f t="shared" si="28"/>
        <v>0</v>
      </c>
    </row>
    <row r="120" spans="1:16" x14ac:dyDescent="0.25">
      <c r="A120" s="39" t="s">
        <v>80</v>
      </c>
      <c r="B120" s="49"/>
      <c r="C120" s="44"/>
      <c r="D120" s="55">
        <v>31.46</v>
      </c>
      <c r="E120" s="20">
        <v>939.96</v>
      </c>
      <c r="F120" s="20">
        <v>371.4</v>
      </c>
      <c r="G120" s="20">
        <f t="shared" si="21"/>
        <v>1311.3600000000001</v>
      </c>
      <c r="H120" s="20">
        <v>183.4</v>
      </c>
      <c r="I120" s="20">
        <v>0</v>
      </c>
      <c r="J120" s="46">
        <f t="shared" si="22"/>
        <v>19.783203725012708</v>
      </c>
      <c r="K120" s="58">
        <f t="shared" si="23"/>
        <v>7.8168026974229967</v>
      </c>
      <c r="L120" s="46">
        <f t="shared" si="24"/>
        <v>2.7667761432156963</v>
      </c>
      <c r="M120" s="46">
        <f t="shared" si="25"/>
        <v>1.0932174343485994</v>
      </c>
      <c r="N120" s="46">
        <f t="shared" si="26"/>
        <v>22.549979868228405</v>
      </c>
      <c r="O120" s="46">
        <f t="shared" si="27"/>
        <v>8.9100201317715957</v>
      </c>
      <c r="P120" s="20">
        <f t="shared" si="28"/>
        <v>0</v>
      </c>
    </row>
    <row r="121" spans="1:16" x14ac:dyDescent="0.25">
      <c r="A121" s="39" t="s">
        <v>71</v>
      </c>
      <c r="B121" s="49"/>
      <c r="C121" s="44"/>
      <c r="D121" s="55">
        <v>49.25</v>
      </c>
      <c r="E121" s="20">
        <v>1923.53</v>
      </c>
      <c r="F121" s="20">
        <v>72.400000000000006</v>
      </c>
      <c r="G121" s="20">
        <f t="shared" si="21"/>
        <v>1995.93</v>
      </c>
      <c r="H121" s="20">
        <v>344</v>
      </c>
      <c r="I121" s="20">
        <v>0</v>
      </c>
      <c r="J121" s="46">
        <f t="shared" si="22"/>
        <v>40.485763463009576</v>
      </c>
      <c r="K121" s="58">
        <f t="shared" si="23"/>
        <v>1.523849004030035</v>
      </c>
      <c r="L121" s="46">
        <f t="shared" si="24"/>
        <v>6.9777510390020172</v>
      </c>
      <c r="M121" s="46">
        <f t="shared" si="25"/>
        <v>0.26263649395837141</v>
      </c>
      <c r="N121" s="46">
        <f t="shared" si="26"/>
        <v>47.463514502011591</v>
      </c>
      <c r="O121" s="46">
        <f t="shared" si="27"/>
        <v>1.7864854979884064</v>
      </c>
      <c r="P121" s="20">
        <f t="shared" si="28"/>
        <v>0</v>
      </c>
    </row>
    <row r="122" spans="1:16" ht="15.75" x14ac:dyDescent="0.25">
      <c r="A122" s="63" t="s">
        <v>260</v>
      </c>
      <c r="B122" s="79">
        <v>141.85</v>
      </c>
      <c r="C122" s="44">
        <v>7059.68</v>
      </c>
      <c r="D122" s="55">
        <f>B122*C122/(C122+C123)</f>
        <v>126.67664412058255</v>
      </c>
      <c r="E122" s="20">
        <v>5543.78</v>
      </c>
      <c r="F122" s="20">
        <v>317.39999999999998</v>
      </c>
      <c r="G122" s="20">
        <f t="shared" si="21"/>
        <v>5861.1799999999994</v>
      </c>
      <c r="H122" s="20">
        <v>1198.5</v>
      </c>
      <c r="I122" s="20">
        <v>1</v>
      </c>
      <c r="J122" s="46">
        <f t="shared" ref="J122:J123" si="29">E122*(D122/(G122-I122+H122))</f>
        <v>99.489911165090803</v>
      </c>
      <c r="K122" s="58">
        <f t="shared" ref="K122:K123" si="30">F122*(D122/(G122-I122+H122))</f>
        <v>5.6961311242148538</v>
      </c>
      <c r="L122" s="46">
        <f t="shared" ref="L122:L123" si="31">E122*(D122-J122-K122)/G122</f>
        <v>20.32682303225566</v>
      </c>
      <c r="M122" s="46">
        <f t="shared" ref="M122:M123" si="32">F122*(D122-J122-K122)/G122</f>
        <v>1.1637787990212358</v>
      </c>
      <c r="N122" s="46">
        <f t="shared" ref="N122:N123" si="33">J122+L122</f>
        <v>119.81673419734646</v>
      </c>
      <c r="O122" s="46">
        <f t="shared" ref="O122:O123" si="34">K122+M122</f>
        <v>6.8599099232360894</v>
      </c>
      <c r="P122" s="20">
        <f t="shared" ref="P122:P123" si="35">D122-(N122+O122)</f>
        <v>0</v>
      </c>
    </row>
    <row r="123" spans="1:16" ht="15.75" x14ac:dyDescent="0.25">
      <c r="A123" s="63" t="s">
        <v>261</v>
      </c>
      <c r="B123" s="80"/>
      <c r="C123" s="44">
        <v>845.61</v>
      </c>
      <c r="D123" s="55">
        <f>B122*C123/(C122+C123)</f>
        <v>15.173355879417453</v>
      </c>
      <c r="E123" s="20">
        <v>685.71</v>
      </c>
      <c r="F123" s="20">
        <v>84.9</v>
      </c>
      <c r="G123" s="20">
        <f t="shared" si="21"/>
        <v>770.61</v>
      </c>
      <c r="H123" s="20">
        <v>75</v>
      </c>
      <c r="I123" s="20">
        <v>2</v>
      </c>
      <c r="J123" s="46">
        <f t="shared" si="29"/>
        <v>12.33333158696002</v>
      </c>
      <c r="K123" s="58">
        <f t="shared" si="30"/>
        <v>1.527030161048994</v>
      </c>
      <c r="L123" s="46">
        <f t="shared" si="31"/>
        <v>1.1683383369643288</v>
      </c>
      <c r="M123" s="46">
        <f t="shared" si="32"/>
        <v>0.14465579444411122</v>
      </c>
      <c r="N123" s="46">
        <f t="shared" si="33"/>
        <v>13.501669923924348</v>
      </c>
      <c r="O123" s="46">
        <f t="shared" si="34"/>
        <v>1.6716859554931052</v>
      </c>
      <c r="P123" s="20">
        <f t="shared" si="35"/>
        <v>0</v>
      </c>
    </row>
    <row r="124" spans="1:16" x14ac:dyDescent="0.25">
      <c r="A124" s="39" t="s">
        <v>225</v>
      </c>
      <c r="B124" s="49"/>
      <c r="C124" s="44"/>
      <c r="D124" s="55"/>
      <c r="E124" s="20">
        <v>4012.82</v>
      </c>
      <c r="F124" s="20">
        <v>736.4</v>
      </c>
      <c r="G124" s="20">
        <f t="shared" si="21"/>
        <v>4749.22</v>
      </c>
      <c r="H124" s="20">
        <v>760.2</v>
      </c>
      <c r="I124" s="20">
        <v>0</v>
      </c>
      <c r="J124" s="46">
        <f t="shared" si="22"/>
        <v>0</v>
      </c>
      <c r="K124" s="58">
        <f t="shared" si="23"/>
        <v>0</v>
      </c>
      <c r="L124" s="46">
        <f t="shared" si="24"/>
        <v>0</v>
      </c>
      <c r="M124" s="46">
        <f t="shared" si="25"/>
        <v>0</v>
      </c>
      <c r="N124" s="46">
        <f t="shared" si="26"/>
        <v>0</v>
      </c>
      <c r="O124" s="46">
        <f t="shared" si="27"/>
        <v>0</v>
      </c>
      <c r="P124" s="20">
        <f t="shared" si="28"/>
        <v>0</v>
      </c>
    </row>
    <row r="125" spans="1:16" x14ac:dyDescent="0.25">
      <c r="A125" s="39" t="s">
        <v>184</v>
      </c>
      <c r="B125" s="49"/>
      <c r="C125" s="44"/>
      <c r="D125" s="55">
        <v>80.280211999999992</v>
      </c>
      <c r="E125" s="20">
        <v>2761.87</v>
      </c>
      <c r="F125" s="20">
        <v>803</v>
      </c>
      <c r="G125" s="20">
        <f t="shared" si="21"/>
        <v>3564.87</v>
      </c>
      <c r="H125" s="20">
        <v>395</v>
      </c>
      <c r="I125" s="20">
        <v>0</v>
      </c>
      <c r="J125" s="46">
        <f t="shared" si="22"/>
        <v>55.992623272087208</v>
      </c>
      <c r="K125" s="58">
        <f t="shared" si="23"/>
        <v>16.27957741946074</v>
      </c>
      <c r="L125" s="46">
        <f t="shared" si="24"/>
        <v>6.204177485427083</v>
      </c>
      <c r="M125" s="46">
        <f t="shared" si="25"/>
        <v>1.8038338230249606</v>
      </c>
      <c r="N125" s="46">
        <f t="shared" si="26"/>
        <v>62.196800757514289</v>
      </c>
      <c r="O125" s="46">
        <f t="shared" si="27"/>
        <v>18.083411242485699</v>
      </c>
      <c r="P125" s="20">
        <f t="shared" si="28"/>
        <v>0</v>
      </c>
    </row>
    <row r="126" spans="1:16" x14ac:dyDescent="0.25">
      <c r="A126" s="39" t="s">
        <v>185</v>
      </c>
      <c r="B126" s="49"/>
      <c r="C126" s="44"/>
      <c r="D126" s="55">
        <v>59.629909999999988</v>
      </c>
      <c r="E126" s="20">
        <v>2558.7800000000002</v>
      </c>
      <c r="F126" s="20">
        <v>0</v>
      </c>
      <c r="G126" s="20">
        <f t="shared" si="21"/>
        <v>2558.7800000000002</v>
      </c>
      <c r="H126" s="20">
        <v>382</v>
      </c>
      <c r="I126" s="20">
        <v>0</v>
      </c>
      <c r="J126" s="46">
        <f t="shared" si="22"/>
        <v>51.884133158481752</v>
      </c>
      <c r="K126" s="58">
        <f t="shared" si="23"/>
        <v>0</v>
      </c>
      <c r="L126" s="46">
        <f t="shared" si="24"/>
        <v>7.7457768415182358</v>
      </c>
      <c r="M126" s="46">
        <f t="shared" si="25"/>
        <v>0</v>
      </c>
      <c r="N126" s="46">
        <f t="shared" si="26"/>
        <v>59.629909999999988</v>
      </c>
      <c r="O126" s="46">
        <f t="shared" si="27"/>
        <v>0</v>
      </c>
      <c r="P126" s="20">
        <f t="shared" si="28"/>
        <v>0</v>
      </c>
    </row>
    <row r="127" spans="1:16" x14ac:dyDescent="0.25">
      <c r="A127" s="39" t="s">
        <v>186</v>
      </c>
      <c r="B127" s="49"/>
      <c r="C127" s="44"/>
      <c r="D127" s="55">
        <v>122.26263200000001</v>
      </c>
      <c r="E127" s="20">
        <v>3509.47</v>
      </c>
      <c r="F127" s="20">
        <v>1178.3</v>
      </c>
      <c r="G127" s="20">
        <f t="shared" si="21"/>
        <v>4687.7699999999995</v>
      </c>
      <c r="H127" s="20">
        <v>462.7</v>
      </c>
      <c r="I127" s="20">
        <v>0</v>
      </c>
      <c r="J127" s="46">
        <f t="shared" si="22"/>
        <v>83.308327031327252</v>
      </c>
      <c r="K127" s="58">
        <f t="shared" si="23"/>
        <v>27.97066273283798</v>
      </c>
      <c r="L127" s="46">
        <f t="shared" si="24"/>
        <v>8.2228357870362832</v>
      </c>
      <c r="M127" s="46">
        <f t="shared" si="25"/>
        <v>2.7608064487984949</v>
      </c>
      <c r="N127" s="46">
        <f t="shared" si="26"/>
        <v>91.531162818363541</v>
      </c>
      <c r="O127" s="46">
        <f t="shared" si="27"/>
        <v>30.731469181636474</v>
      </c>
      <c r="P127" s="20">
        <f t="shared" si="28"/>
        <v>0</v>
      </c>
    </row>
    <row r="128" spans="1:16" x14ac:dyDescent="0.25">
      <c r="A128" s="39" t="s">
        <v>187</v>
      </c>
      <c r="B128" s="49"/>
      <c r="C128" s="44"/>
      <c r="D128" s="55">
        <v>61.347090999999999</v>
      </c>
      <c r="E128" s="20">
        <v>2534.6999999999998</v>
      </c>
      <c r="F128" s="20">
        <v>0</v>
      </c>
      <c r="G128" s="20">
        <f t="shared" si="21"/>
        <v>2534.6999999999998</v>
      </c>
      <c r="H128" s="20">
        <v>303.5</v>
      </c>
      <c r="I128" s="20">
        <v>0</v>
      </c>
      <c r="J128" s="46">
        <f t="shared" si="22"/>
        <v>54.787002874251286</v>
      </c>
      <c r="K128" s="58">
        <f t="shared" si="23"/>
        <v>0</v>
      </c>
      <c r="L128" s="46">
        <f t="shared" si="24"/>
        <v>6.560088125748714</v>
      </c>
      <c r="M128" s="46">
        <f t="shared" si="25"/>
        <v>0</v>
      </c>
      <c r="N128" s="46">
        <f t="shared" si="26"/>
        <v>61.347090999999999</v>
      </c>
      <c r="O128" s="46">
        <f t="shared" si="27"/>
        <v>0</v>
      </c>
      <c r="P128" s="20">
        <f t="shared" si="28"/>
        <v>0</v>
      </c>
    </row>
    <row r="129" spans="1:17" x14ac:dyDescent="0.25">
      <c r="A129" s="39" t="s">
        <v>188</v>
      </c>
      <c r="B129" s="49"/>
      <c r="C129" s="44"/>
      <c r="D129" s="55">
        <v>73.546705999999986</v>
      </c>
      <c r="E129" s="20">
        <v>2789.79</v>
      </c>
      <c r="F129" s="20">
        <v>855.7</v>
      </c>
      <c r="G129" s="20">
        <f t="shared" si="21"/>
        <v>3645.49</v>
      </c>
      <c r="H129" s="20">
        <v>333</v>
      </c>
      <c r="I129" s="20">
        <v>0</v>
      </c>
      <c r="J129" s="46">
        <f t="shared" si="22"/>
        <v>51.572296256051914</v>
      </c>
      <c r="K129" s="58">
        <f t="shared" si="23"/>
        <v>15.81854329763302</v>
      </c>
      <c r="L129" s="46">
        <f t="shared" si="24"/>
        <v>4.7109098237178735</v>
      </c>
      <c r="M129" s="46">
        <f t="shared" si="25"/>
        <v>1.4449566225971793</v>
      </c>
      <c r="N129" s="46">
        <f t="shared" si="26"/>
        <v>56.283206079769784</v>
      </c>
      <c r="O129" s="46">
        <f t="shared" si="27"/>
        <v>17.263499920230199</v>
      </c>
      <c r="P129" s="20">
        <f t="shared" si="28"/>
        <v>0</v>
      </c>
    </row>
    <row r="130" spans="1:17" x14ac:dyDescent="0.25">
      <c r="A130" s="39" t="s">
        <v>28</v>
      </c>
      <c r="B130" s="49"/>
      <c r="C130" s="44"/>
      <c r="D130" s="55">
        <f>0.79+448.38</f>
        <v>449.17</v>
      </c>
      <c r="E130" s="20">
        <v>18388.599999999999</v>
      </c>
      <c r="F130" s="20">
        <v>0</v>
      </c>
      <c r="G130" s="20">
        <f t="shared" si="21"/>
        <v>18388.599999999999</v>
      </c>
      <c r="H130" s="20">
        <v>3636.2</v>
      </c>
      <c r="I130" s="20">
        <v>0</v>
      </c>
      <c r="J130" s="46">
        <f t="shared" si="22"/>
        <v>375.01395980894267</v>
      </c>
      <c r="K130" s="58">
        <f t="shared" si="23"/>
        <v>0</v>
      </c>
      <c r="L130" s="46">
        <f t="shared" si="24"/>
        <v>74.156040191057343</v>
      </c>
      <c r="M130" s="46">
        <f t="shared" si="25"/>
        <v>0</v>
      </c>
      <c r="N130" s="46">
        <f t="shared" si="26"/>
        <v>449.17</v>
      </c>
      <c r="O130" s="46">
        <f t="shared" si="27"/>
        <v>0</v>
      </c>
      <c r="P130" s="20">
        <f t="shared" si="28"/>
        <v>0</v>
      </c>
    </row>
    <row r="131" spans="1:17" x14ac:dyDescent="0.25">
      <c r="A131" s="39" t="s">
        <v>29</v>
      </c>
      <c r="B131" s="49"/>
      <c r="C131" s="44"/>
      <c r="D131" s="55">
        <f>1.2+164.648</f>
        <v>165.84799999999998</v>
      </c>
      <c r="E131" s="20">
        <v>6734.2</v>
      </c>
      <c r="F131" s="20">
        <v>126.6</v>
      </c>
      <c r="G131" s="20">
        <f t="shared" si="21"/>
        <v>6860.8</v>
      </c>
      <c r="H131" s="20">
        <v>2575.6</v>
      </c>
      <c r="I131" s="20">
        <v>0</v>
      </c>
      <c r="J131" s="46">
        <f t="shared" si="22"/>
        <v>118.35589860540034</v>
      </c>
      <c r="K131" s="58">
        <f t="shared" si="23"/>
        <v>2.2250388707557964</v>
      </c>
      <c r="L131" s="46">
        <f t="shared" si="24"/>
        <v>44.431764874077253</v>
      </c>
      <c r="M131" s="46">
        <f t="shared" si="25"/>
        <v>0.83529764976659138</v>
      </c>
      <c r="N131" s="46">
        <f t="shared" si="26"/>
        <v>162.7876634794776</v>
      </c>
      <c r="O131" s="46">
        <f t="shared" si="27"/>
        <v>3.0603365205223878</v>
      </c>
      <c r="P131" s="20">
        <f t="shared" si="28"/>
        <v>0</v>
      </c>
    </row>
    <row r="132" spans="1:17" x14ac:dyDescent="0.25">
      <c r="A132" s="39" t="s">
        <v>141</v>
      </c>
      <c r="B132" s="49"/>
      <c r="C132" s="44"/>
      <c r="D132" s="55">
        <v>172.03540000000004</v>
      </c>
      <c r="E132" s="20">
        <v>5245.8</v>
      </c>
      <c r="F132" s="20">
        <v>655.8</v>
      </c>
      <c r="G132" s="20">
        <f t="shared" si="21"/>
        <v>5901.6</v>
      </c>
      <c r="H132" s="20">
        <v>2801.3</v>
      </c>
      <c r="I132" s="20">
        <v>0</v>
      </c>
      <c r="J132" s="46">
        <f t="shared" si="22"/>
        <v>103.69684832871802</v>
      </c>
      <c r="K132" s="58">
        <f t="shared" si="23"/>
        <v>12.963588610692987</v>
      </c>
      <c r="L132" s="46">
        <f t="shared" si="24"/>
        <v>49.221563851029877</v>
      </c>
      <c r="M132" s="46">
        <f t="shared" si="25"/>
        <v>6.1533992095591508</v>
      </c>
      <c r="N132" s="46">
        <f t="shared" si="26"/>
        <v>152.91841217974789</v>
      </c>
      <c r="O132" s="46">
        <f t="shared" si="27"/>
        <v>19.116987820252138</v>
      </c>
      <c r="P132" s="20">
        <f t="shared" si="28"/>
        <v>0</v>
      </c>
    </row>
    <row r="133" spans="1:17" x14ac:dyDescent="0.25">
      <c r="A133" s="39" t="s">
        <v>96</v>
      </c>
      <c r="B133" s="79">
        <f>232.25+193.06+198.58+150.83+177.68+222.34+287.03</f>
        <v>1461.77</v>
      </c>
      <c r="C133" s="44">
        <v>46914.06</v>
      </c>
      <c r="D133" s="55">
        <f>B133*C133/(C133+C134+C135)</f>
        <v>1032.8295033778247</v>
      </c>
      <c r="E133" s="20">
        <v>35898.1</v>
      </c>
      <c r="F133" s="20">
        <v>1037</v>
      </c>
      <c r="G133" s="20">
        <f t="shared" si="21"/>
        <v>36935.1</v>
      </c>
      <c r="H133" s="20">
        <v>9978.9599999999991</v>
      </c>
      <c r="I133" s="20">
        <v>0</v>
      </c>
      <c r="J133" s="46">
        <f t="shared" si="22"/>
        <v>790.30927605087868</v>
      </c>
      <c r="K133" s="58">
        <f t="shared" si="23"/>
        <v>22.829919111729069</v>
      </c>
      <c r="L133" s="46">
        <f t="shared" si="24"/>
        <v>213.52222285415988</v>
      </c>
      <c r="M133" s="46">
        <f t="shared" si="25"/>
        <v>6.1680853610570985</v>
      </c>
      <c r="N133" s="46">
        <f t="shared" si="26"/>
        <v>1003.8314989050385</v>
      </c>
      <c r="O133" s="46">
        <f t="shared" si="27"/>
        <v>28.998004472786167</v>
      </c>
      <c r="P133" s="20">
        <f t="shared" si="28"/>
        <v>0</v>
      </c>
    </row>
    <row r="134" spans="1:17" x14ac:dyDescent="0.25">
      <c r="A134" s="39" t="s">
        <v>97</v>
      </c>
      <c r="B134" s="85"/>
      <c r="C134" s="44">
        <v>9444.7999999999993</v>
      </c>
      <c r="D134" s="55">
        <f>B133*C134/(C133+C134+C135)</f>
        <v>207.93058826080878</v>
      </c>
      <c r="E134" s="20">
        <v>6487.9</v>
      </c>
      <c r="F134" s="20">
        <v>1086.7</v>
      </c>
      <c r="G134" s="20">
        <f t="shared" si="21"/>
        <v>7574.5999999999995</v>
      </c>
      <c r="H134" s="20">
        <v>1870.2</v>
      </c>
      <c r="I134" s="20">
        <v>0</v>
      </c>
      <c r="J134" s="46">
        <f t="shared" si="22"/>
        <v>142.83339653325652</v>
      </c>
      <c r="K134" s="58">
        <f t="shared" si="23"/>
        <v>23.924082062406924</v>
      </c>
      <c r="L134" s="46">
        <f t="shared" si="24"/>
        <v>35.266155070432291</v>
      </c>
      <c r="M134" s="46">
        <f t="shared" si="25"/>
        <v>5.9069545947130466</v>
      </c>
      <c r="N134" s="46">
        <f t="shared" si="26"/>
        <v>178.09955160368881</v>
      </c>
      <c r="O134" s="46">
        <f t="shared" si="27"/>
        <v>29.83103665711997</v>
      </c>
      <c r="P134" s="20">
        <f t="shared" si="28"/>
        <v>0</v>
      </c>
    </row>
    <row r="135" spans="1:17" x14ac:dyDescent="0.25">
      <c r="A135" s="39" t="s">
        <v>98</v>
      </c>
      <c r="B135" s="80"/>
      <c r="C135" s="44">
        <v>10038.9</v>
      </c>
      <c r="D135" s="55">
        <f>B133*C135/(C133+C134+C135)</f>
        <v>221.00990836136643</v>
      </c>
      <c r="E135" s="20">
        <v>6976.7</v>
      </c>
      <c r="F135" s="20">
        <v>783</v>
      </c>
      <c r="G135" s="20">
        <f t="shared" si="21"/>
        <v>7759.7</v>
      </c>
      <c r="H135" s="20">
        <v>2279.1999999999998</v>
      </c>
      <c r="I135" s="20">
        <v>0</v>
      </c>
      <c r="J135" s="46">
        <f t="shared" si="22"/>
        <v>153.59450016084881</v>
      </c>
      <c r="K135" s="58">
        <f t="shared" si="23"/>
        <v>17.238019927178268</v>
      </c>
      <c r="L135" s="46">
        <f t="shared" si="24"/>
        <v>45.114190595848633</v>
      </c>
      <c r="M135" s="46">
        <f t="shared" si="25"/>
        <v>5.0631976774907157</v>
      </c>
      <c r="N135" s="46">
        <f t="shared" si="26"/>
        <v>198.70869075669745</v>
      </c>
      <c r="O135" s="46">
        <f t="shared" si="27"/>
        <v>22.301217604668985</v>
      </c>
      <c r="P135" s="20">
        <f t="shared" si="28"/>
        <v>0</v>
      </c>
    </row>
    <row r="136" spans="1:17" x14ac:dyDescent="0.25">
      <c r="A136" s="39" t="s">
        <v>74</v>
      </c>
      <c r="B136" s="79">
        <f>211.74+126.97+192.92+196.24</f>
        <v>727.87</v>
      </c>
      <c r="C136" s="44">
        <v>9534.2000000000007</v>
      </c>
      <c r="D136" s="55">
        <f>B136*C136/(C136+C137+C138+C139)</f>
        <v>193.4049065395817</v>
      </c>
      <c r="E136" s="20">
        <v>6997.6</v>
      </c>
      <c r="F136" s="20">
        <v>105.2</v>
      </c>
      <c r="G136" s="20">
        <f t="shared" si="21"/>
        <v>7102.8</v>
      </c>
      <c r="H136" s="20">
        <v>2431.4</v>
      </c>
      <c r="I136" s="20">
        <v>0</v>
      </c>
      <c r="J136" s="46">
        <f t="shared" si="22"/>
        <v>141.94900190906179</v>
      </c>
      <c r="K136" s="58">
        <f t="shared" si="23"/>
        <v>2.13402237922049</v>
      </c>
      <c r="L136" s="46">
        <f t="shared" si="24"/>
        <v>48.591372872908266</v>
      </c>
      <c r="M136" s="46">
        <f t="shared" si="25"/>
        <v>0.73050937839115548</v>
      </c>
      <c r="N136" s="46">
        <f t="shared" si="26"/>
        <v>190.54037478197006</v>
      </c>
      <c r="O136" s="46">
        <f t="shared" si="27"/>
        <v>2.8645317576116454</v>
      </c>
      <c r="P136" s="20">
        <f t="shared" si="28"/>
        <v>0</v>
      </c>
    </row>
    <row r="137" spans="1:17" x14ac:dyDescent="0.25">
      <c r="A137" s="39" t="s">
        <v>75</v>
      </c>
      <c r="B137" s="85"/>
      <c r="C137" s="44">
        <v>10041.299999999999</v>
      </c>
      <c r="D137" s="55">
        <f>B136*C137/(C136+C137+C138+C139)</f>
        <v>203.69162468124242</v>
      </c>
      <c r="E137" s="20">
        <v>6985</v>
      </c>
      <c r="F137" s="20">
        <v>622.5</v>
      </c>
      <c r="G137" s="20">
        <f t="shared" si="21"/>
        <v>7607.5</v>
      </c>
      <c r="H137" s="20">
        <v>2433.8000000000002</v>
      </c>
      <c r="I137" s="20">
        <v>0</v>
      </c>
      <c r="J137" s="46">
        <f t="shared" si="22"/>
        <v>141.69340607276732</v>
      </c>
      <c r="K137" s="58">
        <f t="shared" si="23"/>
        <v>12.627651435976757</v>
      </c>
      <c r="L137" s="46">
        <f t="shared" si="24"/>
        <v>45.330714650003408</v>
      </c>
      <c r="M137" s="46">
        <f t="shared" si="25"/>
        <v>4.0398525224949351</v>
      </c>
      <c r="N137" s="46">
        <f t="shared" si="26"/>
        <v>187.02412072277073</v>
      </c>
      <c r="O137" s="46">
        <f t="shared" si="27"/>
        <v>16.667503958471691</v>
      </c>
      <c r="P137" s="20">
        <f t="shared" si="28"/>
        <v>0</v>
      </c>
    </row>
    <row r="138" spans="1:17" x14ac:dyDescent="0.25">
      <c r="A138" s="39" t="s">
        <v>76</v>
      </c>
      <c r="B138" s="85"/>
      <c r="C138" s="44">
        <v>10232</v>
      </c>
      <c r="D138" s="55">
        <f>B136*C138/(C136+C137+C138+C139)</f>
        <v>207.56004737817537</v>
      </c>
      <c r="E138" s="20">
        <v>7079</v>
      </c>
      <c r="F138" s="20">
        <v>622.9</v>
      </c>
      <c r="G138" s="20">
        <f t="shared" si="21"/>
        <v>7701.9</v>
      </c>
      <c r="H138" s="20">
        <v>2530.1</v>
      </c>
      <c r="I138" s="20">
        <v>0</v>
      </c>
      <c r="J138" s="46">
        <f t="shared" si="22"/>
        <v>143.60023215305935</v>
      </c>
      <c r="K138" s="58">
        <f t="shared" si="23"/>
        <v>12.635765589509912</v>
      </c>
      <c r="L138" s="46">
        <f t="shared" si="24"/>
        <v>47.173158229846614</v>
      </c>
      <c r="M138" s="46">
        <f t="shared" si="25"/>
        <v>4.1508914057594932</v>
      </c>
      <c r="N138" s="46">
        <f t="shared" si="26"/>
        <v>190.77339038290597</v>
      </c>
      <c r="O138" s="46">
        <f t="shared" si="27"/>
        <v>16.786656995269404</v>
      </c>
      <c r="P138" s="20">
        <f t="shared" si="28"/>
        <v>0</v>
      </c>
    </row>
    <row r="139" spans="1:17" x14ac:dyDescent="0.25">
      <c r="A139" s="39" t="s">
        <v>77</v>
      </c>
      <c r="B139" s="80"/>
      <c r="C139" s="44">
        <v>6074</v>
      </c>
      <c r="D139" s="55">
        <f>B136*C139/(C136+C137+C138+C139)</f>
        <v>123.21342140100052</v>
      </c>
      <c r="E139" s="20">
        <v>4795.3</v>
      </c>
      <c r="F139" s="20">
        <v>134.69999999999999</v>
      </c>
      <c r="G139" s="20">
        <f t="shared" ref="G139:G203" si="36">E139+F139</f>
        <v>4930</v>
      </c>
      <c r="H139" s="20">
        <v>1144</v>
      </c>
      <c r="I139" s="20">
        <v>0</v>
      </c>
      <c r="J139" s="46">
        <f t="shared" ref="J139:J203" si="37">E139*(D139/(G139-I139+H139))</f>
        <v>97.27450109387847</v>
      </c>
      <c r="K139" s="58">
        <f t="shared" ref="K139:K203" si="38">F139*(D139/(G139-I139+H139))</f>
        <v>2.7324412022908739</v>
      </c>
      <c r="L139" s="46">
        <f t="shared" ref="L139:L203" si="39">E139*(D139-J139-K139)/G139</f>
        <v>22.572419726449681</v>
      </c>
      <c r="M139" s="46">
        <f t="shared" ref="M139:M203" si="40">F139*(D139-J139-K139)/G139</f>
        <v>0.63405937838149262</v>
      </c>
      <c r="N139" s="46">
        <f t="shared" ref="N139:N203" si="41">J139+L139</f>
        <v>119.84692082032815</v>
      </c>
      <c r="O139" s="46">
        <f t="shared" ref="O139:O203" si="42">K139+M139</f>
        <v>3.3665005806723665</v>
      </c>
      <c r="P139" s="20">
        <f t="shared" ref="P139:P203" si="43">D139-(N139+O139)</f>
        <v>0</v>
      </c>
    </row>
    <row r="140" spans="1:17" x14ac:dyDescent="0.25">
      <c r="A140" s="39" t="s">
        <v>30</v>
      </c>
      <c r="B140" s="49"/>
      <c r="C140" s="44"/>
      <c r="D140" s="55">
        <v>156.32843392000001</v>
      </c>
      <c r="E140" s="20">
        <v>6394.39</v>
      </c>
      <c r="F140" s="20">
        <v>314.39999999999998</v>
      </c>
      <c r="G140" s="20">
        <f t="shared" si="36"/>
        <v>6708.79</v>
      </c>
      <c r="H140" s="20">
        <v>1480.5</v>
      </c>
      <c r="I140" s="20">
        <v>0</v>
      </c>
      <c r="J140" s="46">
        <f t="shared" si="37"/>
        <v>122.06491338976991</v>
      </c>
      <c r="K140" s="58">
        <f t="shared" si="38"/>
        <v>6.0016997351965795</v>
      </c>
      <c r="L140" s="46">
        <f t="shared" si="39"/>
        <v>26.937361919743257</v>
      </c>
      <c r="M140" s="46">
        <f t="shared" si="40"/>
        <v>1.3244588752902589</v>
      </c>
      <c r="N140" s="46">
        <f t="shared" si="41"/>
        <v>149.00227530951318</v>
      </c>
      <c r="O140" s="46">
        <f t="shared" si="42"/>
        <v>7.3261586104868384</v>
      </c>
      <c r="P140" s="20">
        <f t="shared" si="43"/>
        <v>0</v>
      </c>
    </row>
    <row r="141" spans="1:17" x14ac:dyDescent="0.25">
      <c r="A141" s="39" t="s">
        <v>31</v>
      </c>
      <c r="B141" s="49"/>
      <c r="C141" s="44"/>
      <c r="D141" s="55">
        <v>168.60040000000004</v>
      </c>
      <c r="E141" s="20">
        <v>8126.1</v>
      </c>
      <c r="F141" s="20">
        <v>876</v>
      </c>
      <c r="G141" s="20">
        <f t="shared" si="36"/>
        <v>9002.1</v>
      </c>
      <c r="H141" s="20">
        <v>2391.5</v>
      </c>
      <c r="I141" s="20">
        <v>0</v>
      </c>
      <c r="J141" s="46">
        <f t="shared" si="37"/>
        <v>120.24853518115437</v>
      </c>
      <c r="K141" s="58">
        <f t="shared" si="38"/>
        <v>12.962887094509201</v>
      </c>
      <c r="L141" s="46">
        <f t="shared" si="39"/>
        <v>31.945254094681307</v>
      </c>
      <c r="M141" s="46">
        <f t="shared" si="40"/>
        <v>3.4437236296551634</v>
      </c>
      <c r="N141" s="46">
        <f t="shared" si="41"/>
        <v>152.19378927583568</v>
      </c>
      <c r="O141" s="46">
        <f t="shared" si="42"/>
        <v>16.406610724164363</v>
      </c>
      <c r="P141" s="20">
        <f t="shared" si="43"/>
        <v>0</v>
      </c>
    </row>
    <row r="142" spans="1:17" x14ac:dyDescent="0.25">
      <c r="A142" s="39" t="s">
        <v>32</v>
      </c>
      <c r="B142" s="49"/>
      <c r="C142" s="44"/>
      <c r="D142" s="55">
        <f>1.09+174.0996</f>
        <v>175.18960000000001</v>
      </c>
      <c r="E142" s="20">
        <v>5976.7</v>
      </c>
      <c r="F142" s="20">
        <v>1378.8</v>
      </c>
      <c r="G142" s="20">
        <f t="shared" si="36"/>
        <v>7355.5</v>
      </c>
      <c r="H142" s="20">
        <v>2823.4</v>
      </c>
      <c r="I142" s="20">
        <v>0</v>
      </c>
      <c r="J142" s="46">
        <f t="shared" si="37"/>
        <v>102.86530787413179</v>
      </c>
      <c r="K142" s="58">
        <f t="shared" si="38"/>
        <v>23.730601585633028</v>
      </c>
      <c r="L142" s="46">
        <f t="shared" si="39"/>
        <v>39.48472710921402</v>
      </c>
      <c r="M142" s="46">
        <f t="shared" si="40"/>
        <v>9.1089634310211807</v>
      </c>
      <c r="N142" s="46">
        <f t="shared" si="41"/>
        <v>142.35003498334581</v>
      </c>
      <c r="O142" s="46">
        <f t="shared" si="42"/>
        <v>32.839565016654205</v>
      </c>
      <c r="P142" s="20">
        <f t="shared" si="43"/>
        <v>0</v>
      </c>
    </row>
    <row r="143" spans="1:17" x14ac:dyDescent="0.25">
      <c r="A143" s="39" t="s">
        <v>104</v>
      </c>
      <c r="B143" s="79">
        <v>86.92</v>
      </c>
      <c r="C143" s="44">
        <v>3937.12</v>
      </c>
      <c r="D143" s="55">
        <f>B143*C143/(C143+C144)</f>
        <v>44.062213730039581</v>
      </c>
      <c r="E143" s="20">
        <v>2710.86</v>
      </c>
      <c r="F143" s="20">
        <v>458.56</v>
      </c>
      <c r="G143" s="20">
        <f t="shared" si="36"/>
        <v>3169.42</v>
      </c>
      <c r="H143" s="20">
        <v>767.7</v>
      </c>
      <c r="I143" s="20">
        <v>0</v>
      </c>
      <c r="J143" s="46">
        <f t="shared" si="37"/>
        <v>30.338545107137985</v>
      </c>
      <c r="K143" s="58">
        <f t="shared" si="38"/>
        <v>5.1319666985123522</v>
      </c>
      <c r="L143" s="46">
        <f t="shared" si="39"/>
        <v>7.3486319511929068</v>
      </c>
      <c r="M143" s="46">
        <f t="shared" si="40"/>
        <v>1.2430699731963359</v>
      </c>
      <c r="N143" s="46">
        <f t="shared" si="41"/>
        <v>37.687177058330889</v>
      </c>
      <c r="O143" s="46">
        <f t="shared" si="42"/>
        <v>6.3750366717086884</v>
      </c>
      <c r="P143" s="20">
        <f t="shared" si="43"/>
        <v>0</v>
      </c>
    </row>
    <row r="144" spans="1:17" x14ac:dyDescent="0.25">
      <c r="A144" s="39" t="s">
        <v>105</v>
      </c>
      <c r="B144" s="80"/>
      <c r="C144" s="52">
        <v>3829.5</v>
      </c>
      <c r="D144" s="55">
        <f>B143*C144/(C143+C144)</f>
        <v>42.857786269960421</v>
      </c>
      <c r="E144" s="51">
        <v>3123.5</v>
      </c>
      <c r="F144" s="20">
        <v>167.2</v>
      </c>
      <c r="G144" s="20">
        <f t="shared" si="36"/>
        <v>3290.7</v>
      </c>
      <c r="H144" s="20">
        <v>538.79999999999995</v>
      </c>
      <c r="I144" s="20">
        <v>0</v>
      </c>
      <c r="J144" s="46">
        <f t="shared" si="37"/>
        <v>34.956598880851644</v>
      </c>
      <c r="K144" s="58">
        <f t="shared" si="38"/>
        <v>1.8712160502251944</v>
      </c>
      <c r="L144" s="46">
        <f t="shared" si="39"/>
        <v>5.7235893508988589</v>
      </c>
      <c r="M144" s="46">
        <f t="shared" si="40"/>
        <v>0.30638198798472516</v>
      </c>
      <c r="N144" s="46">
        <f t="shared" si="41"/>
        <v>40.680188231750506</v>
      </c>
      <c r="O144" s="46">
        <f t="shared" si="42"/>
        <v>2.1775980382099194</v>
      </c>
      <c r="P144" s="20">
        <f t="shared" si="43"/>
        <v>0</v>
      </c>
      <c r="Q144" t="s">
        <v>249</v>
      </c>
    </row>
    <row r="145" spans="1:16" x14ac:dyDescent="0.25">
      <c r="A145" s="39" t="s">
        <v>33</v>
      </c>
      <c r="B145" s="79">
        <v>128.46</v>
      </c>
      <c r="C145" s="44">
        <v>3301.81</v>
      </c>
      <c r="D145" s="55">
        <f>B145*C145/(C145+C146+C147)</f>
        <v>56.71553248218909</v>
      </c>
      <c r="E145" s="20">
        <v>2266.79</v>
      </c>
      <c r="F145" s="20">
        <v>418.02</v>
      </c>
      <c r="G145" s="20">
        <f t="shared" si="36"/>
        <v>2684.81</v>
      </c>
      <c r="H145" s="20">
        <v>617</v>
      </c>
      <c r="I145" s="20">
        <v>0</v>
      </c>
      <c r="J145" s="46">
        <f t="shared" si="37"/>
        <v>38.936886700113391</v>
      </c>
      <c r="K145" s="58">
        <f t="shared" si="38"/>
        <v>7.1803728525277597</v>
      </c>
      <c r="L145" s="46">
        <f t="shared" si="39"/>
        <v>8.9481412442481858</v>
      </c>
      <c r="M145" s="46">
        <f t="shared" si="40"/>
        <v>1.6501316852997527</v>
      </c>
      <c r="N145" s="46">
        <f t="shared" si="41"/>
        <v>47.885027944361575</v>
      </c>
      <c r="O145" s="46">
        <f t="shared" si="42"/>
        <v>8.8305045378275118</v>
      </c>
      <c r="P145" s="20">
        <f t="shared" si="43"/>
        <v>0</v>
      </c>
    </row>
    <row r="146" spans="1:16" x14ac:dyDescent="0.25">
      <c r="A146" s="39" t="s">
        <v>82</v>
      </c>
      <c r="B146" s="85"/>
      <c r="C146" s="44">
        <v>679.5</v>
      </c>
      <c r="D146" s="55">
        <f>B145*C146/(C145+C146+C147)</f>
        <v>11.671841905393553</v>
      </c>
      <c r="E146" s="20">
        <v>535.08000000000004</v>
      </c>
      <c r="F146" s="20">
        <v>0</v>
      </c>
      <c r="G146" s="20">
        <f t="shared" si="36"/>
        <v>535.08000000000004</v>
      </c>
      <c r="H146" s="20">
        <v>144.41999999999999</v>
      </c>
      <c r="I146" s="20">
        <v>0</v>
      </c>
      <c r="J146" s="46">
        <f t="shared" si="37"/>
        <v>9.1911246015275676</v>
      </c>
      <c r="K146" s="58">
        <f t="shared" si="38"/>
        <v>0</v>
      </c>
      <c r="L146" s="46">
        <f t="shared" si="39"/>
        <v>2.4807173038659851</v>
      </c>
      <c r="M146" s="46">
        <f t="shared" si="40"/>
        <v>0</v>
      </c>
      <c r="N146" s="46">
        <f t="shared" si="41"/>
        <v>11.671841905393553</v>
      </c>
      <c r="O146" s="46">
        <f t="shared" si="42"/>
        <v>0</v>
      </c>
      <c r="P146" s="20">
        <f t="shared" si="43"/>
        <v>0</v>
      </c>
    </row>
    <row r="147" spans="1:16" x14ac:dyDescent="0.25">
      <c r="A147" s="39" t="s">
        <v>189</v>
      </c>
      <c r="B147" s="80"/>
      <c r="C147" s="44">
        <f>G147+H147</f>
        <v>3497.25</v>
      </c>
      <c r="D147" s="55">
        <f>B145*C147/(C145+C146+C147)</f>
        <v>60.072625612417376</v>
      </c>
      <c r="E147" s="20">
        <f>2410.38+20.84</f>
        <v>2431.2200000000003</v>
      </c>
      <c r="F147" s="20">
        <v>363.5</v>
      </c>
      <c r="G147" s="20">
        <f t="shared" si="36"/>
        <v>2794.7200000000003</v>
      </c>
      <c r="H147" s="20">
        <v>702.53</v>
      </c>
      <c r="I147" s="20">
        <v>0</v>
      </c>
      <c r="J147" s="46">
        <f t="shared" si="37"/>
        <v>41.761317847286122</v>
      </c>
      <c r="K147" s="58">
        <f t="shared" si="38"/>
        <v>6.2438771635181123</v>
      </c>
      <c r="L147" s="46">
        <f t="shared" si="39"/>
        <v>10.497859759565861</v>
      </c>
      <c r="M147" s="46">
        <f t="shared" si="40"/>
        <v>1.5695708420472807</v>
      </c>
      <c r="N147" s="46">
        <f t="shared" si="41"/>
        <v>52.259177606851985</v>
      </c>
      <c r="O147" s="46">
        <f t="shared" si="42"/>
        <v>7.8134480055653928</v>
      </c>
      <c r="P147" s="20">
        <f t="shared" si="43"/>
        <v>0</v>
      </c>
    </row>
    <row r="148" spans="1:16" x14ac:dyDescent="0.25">
      <c r="A148" s="39" t="s">
        <v>226</v>
      </c>
      <c r="B148" s="49"/>
      <c r="C148" s="44"/>
      <c r="D148" s="55">
        <v>65.057592</v>
      </c>
      <c r="E148" s="20">
        <v>2156.59</v>
      </c>
      <c r="F148" s="20">
        <v>493</v>
      </c>
      <c r="G148" s="20">
        <f t="shared" si="36"/>
        <v>2649.59</v>
      </c>
      <c r="H148" s="20">
        <v>838.3</v>
      </c>
      <c r="I148" s="20">
        <v>0</v>
      </c>
      <c r="J148" s="46">
        <f t="shared" si="37"/>
        <v>40.225624182895679</v>
      </c>
      <c r="K148" s="58">
        <f t="shared" si="38"/>
        <v>9.1956434566457084</v>
      </c>
      <c r="L148" s="46">
        <f t="shared" si="39"/>
        <v>12.72692784639187</v>
      </c>
      <c r="M148" s="46">
        <f t="shared" si="40"/>
        <v>2.9093965140667408</v>
      </c>
      <c r="N148" s="46">
        <f t="shared" si="41"/>
        <v>52.952552029287546</v>
      </c>
      <c r="O148" s="46">
        <f t="shared" si="42"/>
        <v>12.105039970712449</v>
      </c>
      <c r="P148" s="20">
        <f t="shared" si="43"/>
        <v>0</v>
      </c>
    </row>
    <row r="149" spans="1:16" x14ac:dyDescent="0.25">
      <c r="A149" s="39" t="s">
        <v>34</v>
      </c>
      <c r="B149" s="49"/>
      <c r="C149" s="44"/>
      <c r="D149" s="55">
        <v>51.276200000000003</v>
      </c>
      <c r="E149" s="20">
        <v>2494.8200000000002</v>
      </c>
      <c r="F149" s="20">
        <v>0</v>
      </c>
      <c r="G149" s="20">
        <f t="shared" si="36"/>
        <v>2494.8200000000002</v>
      </c>
      <c r="H149" s="20">
        <v>388.9</v>
      </c>
      <c r="I149" s="20">
        <v>0</v>
      </c>
      <c r="J149" s="46">
        <f t="shared" si="37"/>
        <v>44.361064626246659</v>
      </c>
      <c r="K149" s="58">
        <f t="shared" si="38"/>
        <v>0</v>
      </c>
      <c r="L149" s="46">
        <f t="shared" si="39"/>
        <v>6.915135373753345</v>
      </c>
      <c r="M149" s="46">
        <f t="shared" si="40"/>
        <v>0</v>
      </c>
      <c r="N149" s="46">
        <f t="shared" si="41"/>
        <v>51.276200000000003</v>
      </c>
      <c r="O149" s="46">
        <f t="shared" si="42"/>
        <v>0</v>
      </c>
      <c r="P149" s="20">
        <f t="shared" si="43"/>
        <v>0</v>
      </c>
    </row>
    <row r="150" spans="1:16" x14ac:dyDescent="0.25">
      <c r="A150" s="39" t="s">
        <v>190</v>
      </c>
      <c r="B150" s="49"/>
      <c r="C150" s="44"/>
      <c r="D150" s="55">
        <v>140.15980500000001</v>
      </c>
      <c r="E150" s="20">
        <v>4827.1499999999996</v>
      </c>
      <c r="F150" s="20">
        <v>722.2</v>
      </c>
      <c r="G150" s="20">
        <f t="shared" si="36"/>
        <v>5549.3499999999995</v>
      </c>
      <c r="H150" s="20">
        <v>661</v>
      </c>
      <c r="I150" s="20">
        <v>0</v>
      </c>
      <c r="J150" s="46">
        <f t="shared" si="37"/>
        <v>108.94271702975678</v>
      </c>
      <c r="K150" s="58">
        <f t="shared" si="38"/>
        <v>16.299147579605016</v>
      </c>
      <c r="L150" s="46">
        <f t="shared" si="39"/>
        <v>12.976499221831251</v>
      </c>
      <c r="M150" s="46">
        <f t="shared" si="40"/>
        <v>1.9414411688069624</v>
      </c>
      <c r="N150" s="46">
        <f t="shared" si="41"/>
        <v>121.91921625158803</v>
      </c>
      <c r="O150" s="46">
        <f t="shared" si="42"/>
        <v>18.24058874841198</v>
      </c>
      <c r="P150" s="20">
        <f t="shared" si="43"/>
        <v>0</v>
      </c>
    </row>
    <row r="151" spans="1:16" x14ac:dyDescent="0.25">
      <c r="A151" s="39" t="s">
        <v>35</v>
      </c>
      <c r="B151" s="49"/>
      <c r="C151" s="44"/>
      <c r="D151" s="55">
        <f>1.55+64.0278</f>
        <v>65.577799999999996</v>
      </c>
      <c r="E151" s="20">
        <v>3104.82</v>
      </c>
      <c r="F151" s="20">
        <v>0</v>
      </c>
      <c r="G151" s="20">
        <f t="shared" si="36"/>
        <v>3104.82</v>
      </c>
      <c r="H151" s="20">
        <v>479.5</v>
      </c>
      <c r="I151" s="20">
        <v>0</v>
      </c>
      <c r="J151" s="46">
        <f t="shared" si="37"/>
        <v>56.80499090371395</v>
      </c>
      <c r="K151" s="58">
        <f t="shared" si="38"/>
        <v>0</v>
      </c>
      <c r="L151" s="46">
        <f t="shared" si="39"/>
        <v>8.7728090962860463</v>
      </c>
      <c r="M151" s="46">
        <f t="shared" si="40"/>
        <v>0</v>
      </c>
      <c r="N151" s="46">
        <f t="shared" si="41"/>
        <v>65.577799999999996</v>
      </c>
      <c r="O151" s="46">
        <f t="shared" si="42"/>
        <v>0</v>
      </c>
      <c r="P151" s="20">
        <f t="shared" si="43"/>
        <v>0</v>
      </c>
    </row>
    <row r="152" spans="1:16" x14ac:dyDescent="0.25">
      <c r="A152" s="39" t="s">
        <v>191</v>
      </c>
      <c r="B152" s="49"/>
      <c r="C152" s="44"/>
      <c r="D152" s="55">
        <v>74.176779999999994</v>
      </c>
      <c r="E152" s="20">
        <v>2130</v>
      </c>
      <c r="F152" s="20">
        <v>925.3</v>
      </c>
      <c r="G152" s="20">
        <f t="shared" si="36"/>
        <v>3055.3</v>
      </c>
      <c r="H152" s="20">
        <v>421</v>
      </c>
      <c r="I152" s="20">
        <v>0</v>
      </c>
      <c r="J152" s="46">
        <f t="shared" si="37"/>
        <v>45.449627880217463</v>
      </c>
      <c r="K152" s="58">
        <f t="shared" si="38"/>
        <v>19.743915811063481</v>
      </c>
      <c r="L152" s="46">
        <f t="shared" si="39"/>
        <v>6.2626561508105834</v>
      </c>
      <c r="M152" s="46">
        <f t="shared" si="40"/>
        <v>2.7205801579084663</v>
      </c>
      <c r="N152" s="46">
        <f t="shared" si="41"/>
        <v>51.712284031028048</v>
      </c>
      <c r="O152" s="46">
        <f t="shared" si="42"/>
        <v>22.464495968971946</v>
      </c>
      <c r="P152" s="20">
        <f t="shared" si="43"/>
        <v>0</v>
      </c>
    </row>
    <row r="153" spans="1:16" x14ac:dyDescent="0.25">
      <c r="A153" s="39" t="s">
        <v>192</v>
      </c>
      <c r="B153" s="49"/>
      <c r="C153" s="44"/>
      <c r="D153" s="55">
        <v>113.59200000000001</v>
      </c>
      <c r="E153" s="20">
        <v>3643.71</v>
      </c>
      <c r="F153" s="20">
        <v>944.1</v>
      </c>
      <c r="G153" s="20">
        <f t="shared" si="36"/>
        <v>4587.8100000000004</v>
      </c>
      <c r="H153" s="20">
        <v>532.6</v>
      </c>
      <c r="I153" s="20">
        <v>0</v>
      </c>
      <c r="J153" s="46">
        <f t="shared" si="37"/>
        <v>80.832649401122168</v>
      </c>
      <c r="K153" s="58">
        <f t="shared" si="38"/>
        <v>20.944066432180232</v>
      </c>
      <c r="L153" s="46">
        <f t="shared" si="39"/>
        <v>9.3838823035473897</v>
      </c>
      <c r="M153" s="46">
        <f t="shared" si="40"/>
        <v>2.4314018631502212</v>
      </c>
      <c r="N153" s="46">
        <f t="shared" si="41"/>
        <v>90.216531704669563</v>
      </c>
      <c r="O153" s="46">
        <f t="shared" si="42"/>
        <v>23.375468295330453</v>
      </c>
      <c r="P153" s="20">
        <f t="shared" si="43"/>
        <v>0</v>
      </c>
    </row>
    <row r="154" spans="1:16" x14ac:dyDescent="0.25">
      <c r="A154" s="39" t="s">
        <v>227</v>
      </c>
      <c r="B154" s="79">
        <f>176.58+117.08+144.06+2.66</f>
        <v>440.38000000000005</v>
      </c>
      <c r="C154" s="44">
        <v>17445.419999999998</v>
      </c>
      <c r="D154" s="55">
        <f>B154*C154/(C154+C155+C156)</f>
        <v>355.46395672588437</v>
      </c>
      <c r="E154" s="20">
        <f>13637.03+153.3</f>
        <v>13790.33</v>
      </c>
      <c r="F154" s="20">
        <v>1197.55</v>
      </c>
      <c r="G154" s="20">
        <f t="shared" si="36"/>
        <v>14987.88</v>
      </c>
      <c r="H154" s="20">
        <v>2457.54</v>
      </c>
      <c r="I154" s="20">
        <v>0</v>
      </c>
      <c r="J154" s="46">
        <f t="shared" si="37"/>
        <v>280.98866443775302</v>
      </c>
      <c r="K154" s="58">
        <f t="shared" si="38"/>
        <v>24.40100962757462</v>
      </c>
      <c r="L154" s="46">
        <f t="shared" si="39"/>
        <v>46.073286041945579</v>
      </c>
      <c r="M154" s="46">
        <f t="shared" si="40"/>
        <v>4.0009966186111523</v>
      </c>
      <c r="N154" s="46">
        <f t="shared" si="41"/>
        <v>327.06195047969857</v>
      </c>
      <c r="O154" s="46">
        <f t="shared" si="42"/>
        <v>28.402006246185771</v>
      </c>
      <c r="P154" s="20">
        <f t="shared" si="43"/>
        <v>0</v>
      </c>
    </row>
    <row r="155" spans="1:16" x14ac:dyDescent="0.25">
      <c r="A155" s="39" t="s">
        <v>139</v>
      </c>
      <c r="B155" s="85"/>
      <c r="C155" s="44">
        <v>2406.13</v>
      </c>
      <c r="D155" s="55">
        <f>B154*C155/(C154+C155+C156)</f>
        <v>49.026764055944327</v>
      </c>
      <c r="E155" s="20">
        <v>558.13</v>
      </c>
      <c r="F155" s="20">
        <v>1694.6</v>
      </c>
      <c r="G155" s="20">
        <f t="shared" si="36"/>
        <v>2252.73</v>
      </c>
      <c r="H155" s="20">
        <v>153.1</v>
      </c>
      <c r="I155" s="20">
        <v>0</v>
      </c>
      <c r="J155" s="46">
        <f t="shared" si="37"/>
        <v>11.373749526169433</v>
      </c>
      <c r="K155" s="58">
        <f t="shared" si="38"/>
        <v>34.533094345487108</v>
      </c>
      <c r="L155" s="46">
        <f t="shared" si="39"/>
        <v>0.77298258222536287</v>
      </c>
      <c r="M155" s="46">
        <f t="shared" si="40"/>
        <v>2.3469376020624226</v>
      </c>
      <c r="N155" s="46">
        <f t="shared" si="41"/>
        <v>12.146732108394797</v>
      </c>
      <c r="O155" s="46">
        <f t="shared" si="42"/>
        <v>36.880031947549533</v>
      </c>
      <c r="P155" s="20">
        <f t="shared" si="43"/>
        <v>0</v>
      </c>
    </row>
    <row r="156" spans="1:16" x14ac:dyDescent="0.25">
      <c r="A156" s="39" t="s">
        <v>140</v>
      </c>
      <c r="B156" s="80"/>
      <c r="C156" s="44">
        <v>1761.37</v>
      </c>
      <c r="D156" s="55">
        <f>B154*C156/(C154+C155+C156)</f>
        <v>35.88927921817136</v>
      </c>
      <c r="E156" s="20">
        <v>1475.8</v>
      </c>
      <c r="F156" s="20">
        <v>0</v>
      </c>
      <c r="G156" s="20">
        <f t="shared" si="36"/>
        <v>1475.8</v>
      </c>
      <c r="H156" s="20">
        <v>285.57</v>
      </c>
      <c r="I156" s="20">
        <v>0</v>
      </c>
      <c r="J156" s="46">
        <f t="shared" si="37"/>
        <v>30.070569085528479</v>
      </c>
      <c r="K156" s="58">
        <f t="shared" si="38"/>
        <v>0</v>
      </c>
      <c r="L156" s="46">
        <f t="shared" si="39"/>
        <v>5.8187101326428818</v>
      </c>
      <c r="M156" s="46">
        <f t="shared" si="40"/>
        <v>0</v>
      </c>
      <c r="N156" s="46">
        <f t="shared" si="41"/>
        <v>35.88927921817136</v>
      </c>
      <c r="O156" s="46">
        <f t="shared" si="42"/>
        <v>0</v>
      </c>
      <c r="P156" s="20">
        <f t="shared" si="43"/>
        <v>0</v>
      </c>
    </row>
    <row r="157" spans="1:16" x14ac:dyDescent="0.25">
      <c r="A157" s="39" t="s">
        <v>193</v>
      </c>
      <c r="B157" s="49"/>
      <c r="C157" s="44"/>
      <c r="D157" s="55">
        <f>59.8+154.1</f>
        <v>213.89999999999998</v>
      </c>
      <c r="E157" s="20">
        <v>7221.68</v>
      </c>
      <c r="F157" s="20">
        <v>1852.2</v>
      </c>
      <c r="G157" s="20">
        <f t="shared" si="36"/>
        <v>9073.880000000001</v>
      </c>
      <c r="H157" s="20">
        <v>1312.2</v>
      </c>
      <c r="I157" s="20">
        <v>0</v>
      </c>
      <c r="J157" s="46">
        <f t="shared" si="37"/>
        <v>148.7295834424537</v>
      </c>
      <c r="K157" s="58">
        <f t="shared" si="38"/>
        <v>38.145824026004028</v>
      </c>
      <c r="L157" s="46">
        <f t="shared" si="39"/>
        <v>21.508214721066178</v>
      </c>
      <c r="M157" s="46">
        <f t="shared" si="40"/>
        <v>5.5163778104760643</v>
      </c>
      <c r="N157" s="46">
        <f t="shared" si="41"/>
        <v>170.23779816351987</v>
      </c>
      <c r="O157" s="46">
        <f t="shared" si="42"/>
        <v>43.662201836480094</v>
      </c>
      <c r="P157" s="20">
        <f t="shared" si="43"/>
        <v>0</v>
      </c>
    </row>
    <row r="158" spans="1:16" x14ac:dyDescent="0.25">
      <c r="A158" s="39" t="s">
        <v>194</v>
      </c>
      <c r="B158" s="49"/>
      <c r="C158" s="44"/>
      <c r="D158" s="55">
        <v>142.88999999999999</v>
      </c>
      <c r="E158" s="20">
        <v>4221.43</v>
      </c>
      <c r="F158" s="20">
        <v>1507.6</v>
      </c>
      <c r="G158" s="20">
        <f t="shared" si="36"/>
        <v>5729.0300000000007</v>
      </c>
      <c r="H158" s="20">
        <v>624</v>
      </c>
      <c r="I158" s="20">
        <v>0</v>
      </c>
      <c r="J158" s="46">
        <f t="shared" si="37"/>
        <v>94.946841538604403</v>
      </c>
      <c r="K158" s="58">
        <f t="shared" si="38"/>
        <v>33.908381355038451</v>
      </c>
      <c r="L158" s="46">
        <f t="shared" si="39"/>
        <v>10.341511411196867</v>
      </c>
      <c r="M158" s="46">
        <f t="shared" si="40"/>
        <v>3.6932656951602647</v>
      </c>
      <c r="N158" s="46">
        <f t="shared" si="41"/>
        <v>105.28835294980126</v>
      </c>
      <c r="O158" s="46">
        <f t="shared" si="42"/>
        <v>37.601647050198714</v>
      </c>
      <c r="P158" s="20">
        <f t="shared" si="43"/>
        <v>0</v>
      </c>
    </row>
    <row r="159" spans="1:16" x14ac:dyDescent="0.25">
      <c r="A159" s="39" t="s">
        <v>195</v>
      </c>
      <c r="B159" s="49"/>
      <c r="C159" s="44"/>
      <c r="D159" s="55">
        <v>112.693054</v>
      </c>
      <c r="E159" s="20">
        <v>4108</v>
      </c>
      <c r="F159" s="20">
        <v>976.1</v>
      </c>
      <c r="G159" s="20">
        <f t="shared" si="36"/>
        <v>5084.1000000000004</v>
      </c>
      <c r="H159" s="20">
        <v>618.29999999999995</v>
      </c>
      <c r="I159" s="20">
        <v>0</v>
      </c>
      <c r="J159" s="46">
        <f t="shared" si="37"/>
        <v>81.183899030583618</v>
      </c>
      <c r="K159" s="58">
        <f t="shared" si="38"/>
        <v>19.290069095363357</v>
      </c>
      <c r="L159" s="46">
        <f t="shared" si="39"/>
        <v>9.8731348263428806</v>
      </c>
      <c r="M159" s="46">
        <f t="shared" si="40"/>
        <v>2.3459510477101473</v>
      </c>
      <c r="N159" s="46">
        <f t="shared" si="41"/>
        <v>91.057033856926495</v>
      </c>
      <c r="O159" s="46">
        <f t="shared" si="42"/>
        <v>21.636020143073505</v>
      </c>
      <c r="P159" s="20">
        <f t="shared" si="43"/>
        <v>0</v>
      </c>
    </row>
    <row r="160" spans="1:16" x14ac:dyDescent="0.25">
      <c r="A160" s="39" t="s">
        <v>196</v>
      </c>
      <c r="B160" s="49"/>
      <c r="C160" s="44"/>
      <c r="D160" s="55">
        <v>131.01602955000004</v>
      </c>
      <c r="E160" s="20">
        <v>4607.92</v>
      </c>
      <c r="F160" s="20">
        <v>1758.7</v>
      </c>
      <c r="G160" s="20">
        <f t="shared" si="36"/>
        <v>6366.62</v>
      </c>
      <c r="H160" s="20">
        <v>710.8</v>
      </c>
      <c r="I160" s="20">
        <v>0</v>
      </c>
      <c r="J160" s="46">
        <f t="shared" si="37"/>
        <v>85.301053616153368</v>
      </c>
      <c r="K160" s="58">
        <f t="shared" si="38"/>
        <v>32.556763788157987</v>
      </c>
      <c r="L160" s="46">
        <f t="shared" si="39"/>
        <v>9.5234188486766627</v>
      </c>
      <c r="M160" s="46">
        <f t="shared" si="40"/>
        <v>3.634793297012024</v>
      </c>
      <c r="N160" s="46">
        <f t="shared" si="41"/>
        <v>94.824472464830023</v>
      </c>
      <c r="O160" s="46">
        <f t="shared" si="42"/>
        <v>36.191557085170011</v>
      </c>
      <c r="P160" s="20">
        <f t="shared" si="43"/>
        <v>0</v>
      </c>
    </row>
    <row r="161" spans="1:16" x14ac:dyDescent="0.25">
      <c r="A161" s="39" t="s">
        <v>197</v>
      </c>
      <c r="B161" s="49"/>
      <c r="C161" s="44"/>
      <c r="D161" s="55">
        <v>101.35859400000001</v>
      </c>
      <c r="E161" s="20">
        <v>4193.9399999999996</v>
      </c>
      <c r="F161" s="20">
        <v>0</v>
      </c>
      <c r="G161" s="20">
        <f t="shared" si="36"/>
        <v>4193.9399999999996</v>
      </c>
      <c r="H161" s="20">
        <v>527.4</v>
      </c>
      <c r="I161" s="20">
        <v>0</v>
      </c>
      <c r="J161" s="46">
        <f t="shared" si="37"/>
        <v>90.036273964671068</v>
      </c>
      <c r="K161" s="58">
        <f t="shared" si="38"/>
        <v>0</v>
      </c>
      <c r="L161" s="46">
        <f t="shared" si="39"/>
        <v>11.322320035328943</v>
      </c>
      <c r="M161" s="46">
        <f t="shared" si="40"/>
        <v>0</v>
      </c>
      <c r="N161" s="46">
        <f t="shared" si="41"/>
        <v>101.35859400000001</v>
      </c>
      <c r="O161" s="46">
        <f t="shared" si="42"/>
        <v>0</v>
      </c>
      <c r="P161" s="20">
        <f t="shared" si="43"/>
        <v>0</v>
      </c>
    </row>
    <row r="162" spans="1:16" x14ac:dyDescent="0.25">
      <c r="A162" s="39" t="s">
        <v>198</v>
      </c>
      <c r="B162" s="49"/>
      <c r="C162" s="44"/>
      <c r="D162" s="55">
        <v>143.85637100000002</v>
      </c>
      <c r="E162" s="20">
        <v>5342.4</v>
      </c>
      <c r="F162" s="20">
        <v>405</v>
      </c>
      <c r="G162" s="20">
        <f t="shared" si="36"/>
        <v>5747.4</v>
      </c>
      <c r="H162" s="20">
        <v>707.5</v>
      </c>
      <c r="I162" s="20">
        <v>0</v>
      </c>
      <c r="J162" s="46">
        <f t="shared" si="37"/>
        <v>119.06277036521095</v>
      </c>
      <c r="K162" s="58">
        <f t="shared" si="38"/>
        <v>9.0259849501928784</v>
      </c>
      <c r="L162" s="46">
        <f t="shared" si="39"/>
        <v>14.656524695233793</v>
      </c>
      <c r="M162" s="46">
        <f t="shared" si="40"/>
        <v>1.1110909893624004</v>
      </c>
      <c r="N162" s="46">
        <f t="shared" si="41"/>
        <v>133.71929506044475</v>
      </c>
      <c r="O162" s="46">
        <f t="shared" si="42"/>
        <v>10.137075939555279</v>
      </c>
      <c r="P162" s="20">
        <f t="shared" si="43"/>
        <v>0</v>
      </c>
    </row>
    <row r="163" spans="1:16" x14ac:dyDescent="0.25">
      <c r="A163" s="39" t="s">
        <v>199</v>
      </c>
      <c r="B163" s="49"/>
      <c r="C163" s="44"/>
      <c r="D163" s="55">
        <v>114.286986</v>
      </c>
      <c r="E163" s="20">
        <v>3496.41</v>
      </c>
      <c r="F163" s="20">
        <v>1177.8</v>
      </c>
      <c r="G163" s="20">
        <f t="shared" si="36"/>
        <v>4674.21</v>
      </c>
      <c r="H163" s="20">
        <v>454.2</v>
      </c>
      <c r="I163" s="20">
        <v>0</v>
      </c>
      <c r="J163" s="46">
        <f t="shared" si="37"/>
        <v>77.917748526397062</v>
      </c>
      <c r="K163" s="58">
        <f t="shared" si="38"/>
        <v>26.2473577796627</v>
      </c>
      <c r="L163" s="46">
        <f t="shared" si="39"/>
        <v>7.5713845506918984</v>
      </c>
      <c r="M163" s="46">
        <f t="shared" si="40"/>
        <v>2.5504951432483369</v>
      </c>
      <c r="N163" s="46">
        <f t="shared" si="41"/>
        <v>85.489133077088965</v>
      </c>
      <c r="O163" s="46">
        <f t="shared" si="42"/>
        <v>28.797852922911037</v>
      </c>
      <c r="P163" s="20">
        <f t="shared" si="43"/>
        <v>0</v>
      </c>
    </row>
    <row r="164" spans="1:16" x14ac:dyDescent="0.25">
      <c r="A164" s="39" t="s">
        <v>200</v>
      </c>
      <c r="B164" s="49"/>
      <c r="C164" s="44"/>
      <c r="D164" s="55">
        <v>123.48034100000001</v>
      </c>
      <c r="E164" s="20">
        <v>3554.62</v>
      </c>
      <c r="F164" s="20">
        <v>1402.7</v>
      </c>
      <c r="G164" s="20">
        <f t="shared" si="36"/>
        <v>4957.32</v>
      </c>
      <c r="H164" s="20">
        <v>412.1</v>
      </c>
      <c r="I164" s="20">
        <v>0</v>
      </c>
      <c r="J164" s="46">
        <f t="shared" si="37"/>
        <v>81.745456627609684</v>
      </c>
      <c r="K164" s="58">
        <f t="shared" si="38"/>
        <v>32.257836846568161</v>
      </c>
      <c r="L164" s="46">
        <f t="shared" si="39"/>
        <v>6.7954666384736075</v>
      </c>
      <c r="M164" s="46">
        <f t="shared" si="40"/>
        <v>2.681580887348558</v>
      </c>
      <c r="N164" s="46">
        <f t="shared" si="41"/>
        <v>88.540923266083297</v>
      </c>
      <c r="O164" s="46">
        <f t="shared" si="42"/>
        <v>34.93941773391672</v>
      </c>
      <c r="P164" s="20">
        <f t="shared" si="43"/>
        <v>0</v>
      </c>
    </row>
    <row r="165" spans="1:16" x14ac:dyDescent="0.25">
      <c r="A165" s="39" t="s">
        <v>201</v>
      </c>
      <c r="B165" s="49"/>
      <c r="C165" s="44"/>
      <c r="D165" s="55">
        <v>95.794245999999987</v>
      </c>
      <c r="E165" s="20">
        <v>4172.01</v>
      </c>
      <c r="F165" s="20">
        <v>0</v>
      </c>
      <c r="G165" s="20">
        <f t="shared" si="36"/>
        <v>4172.01</v>
      </c>
      <c r="H165" s="20">
        <v>502.1</v>
      </c>
      <c r="I165" s="20">
        <v>0</v>
      </c>
      <c r="J165" s="46">
        <f t="shared" si="37"/>
        <v>85.503882504789132</v>
      </c>
      <c r="K165" s="58">
        <f t="shared" si="38"/>
        <v>0</v>
      </c>
      <c r="L165" s="46">
        <f t="shared" si="39"/>
        <v>10.290363495210855</v>
      </c>
      <c r="M165" s="46">
        <f t="shared" si="40"/>
        <v>0</v>
      </c>
      <c r="N165" s="46">
        <f t="shared" si="41"/>
        <v>95.794245999999987</v>
      </c>
      <c r="O165" s="46">
        <f t="shared" si="42"/>
        <v>0</v>
      </c>
      <c r="P165" s="20">
        <f t="shared" si="43"/>
        <v>0</v>
      </c>
    </row>
    <row r="166" spans="1:16" x14ac:dyDescent="0.25">
      <c r="A166" s="39" t="s">
        <v>202</v>
      </c>
      <c r="B166" s="49"/>
      <c r="C166" s="44"/>
      <c r="D166" s="55">
        <v>86.507996000000006</v>
      </c>
      <c r="E166" s="20">
        <v>4192.37</v>
      </c>
      <c r="F166" s="20">
        <v>0</v>
      </c>
      <c r="G166" s="20">
        <f t="shared" si="36"/>
        <v>4192.37</v>
      </c>
      <c r="H166" s="20">
        <v>496.3</v>
      </c>
      <c r="I166" s="20">
        <v>0</v>
      </c>
      <c r="J166" s="46">
        <f t="shared" si="37"/>
        <v>77.351045646317601</v>
      </c>
      <c r="K166" s="58">
        <f t="shared" si="38"/>
        <v>0</v>
      </c>
      <c r="L166" s="46">
        <f t="shared" si="39"/>
        <v>9.1569503536824044</v>
      </c>
      <c r="M166" s="46">
        <f t="shared" si="40"/>
        <v>0</v>
      </c>
      <c r="N166" s="46">
        <f t="shared" si="41"/>
        <v>86.507996000000006</v>
      </c>
      <c r="O166" s="46">
        <f t="shared" si="42"/>
        <v>0</v>
      </c>
      <c r="P166" s="20">
        <f t="shared" si="43"/>
        <v>0</v>
      </c>
    </row>
    <row r="167" spans="1:16" x14ac:dyDescent="0.25">
      <c r="A167" s="39" t="s">
        <v>203</v>
      </c>
      <c r="B167" s="49"/>
      <c r="C167" s="44"/>
      <c r="D167" s="55">
        <v>67.143488000000005</v>
      </c>
      <c r="E167" s="20">
        <v>3459.58</v>
      </c>
      <c r="F167" s="20">
        <v>0</v>
      </c>
      <c r="G167" s="20">
        <f t="shared" si="36"/>
        <v>3459.58</v>
      </c>
      <c r="H167" s="20">
        <v>384.34</v>
      </c>
      <c r="I167" s="20">
        <v>0</v>
      </c>
      <c r="J167" s="46">
        <f t="shared" si="37"/>
        <v>60.430047507502756</v>
      </c>
      <c r="K167" s="58">
        <f t="shared" si="38"/>
        <v>0</v>
      </c>
      <c r="L167" s="46">
        <f t="shared" si="39"/>
        <v>6.7134404924972486</v>
      </c>
      <c r="M167" s="46">
        <f t="shared" si="40"/>
        <v>0</v>
      </c>
      <c r="N167" s="46">
        <f t="shared" si="41"/>
        <v>67.143488000000005</v>
      </c>
      <c r="O167" s="46">
        <f t="shared" si="42"/>
        <v>0</v>
      </c>
      <c r="P167" s="20">
        <f t="shared" si="43"/>
        <v>0</v>
      </c>
    </row>
    <row r="168" spans="1:16" x14ac:dyDescent="0.25">
      <c r="A168" s="39" t="s">
        <v>36</v>
      </c>
      <c r="B168" s="49"/>
      <c r="C168" s="44"/>
      <c r="D168" s="55">
        <v>81.306489700000014</v>
      </c>
      <c r="E168" s="20">
        <v>3476.15</v>
      </c>
      <c r="F168" s="20">
        <v>0</v>
      </c>
      <c r="G168" s="20">
        <f t="shared" si="36"/>
        <v>3476.15</v>
      </c>
      <c r="H168" s="20">
        <v>411.3</v>
      </c>
      <c r="I168" s="20">
        <v>0</v>
      </c>
      <c r="J168" s="46">
        <f t="shared" si="37"/>
        <v>72.704100160942275</v>
      </c>
      <c r="K168" s="58">
        <f t="shared" si="38"/>
        <v>0</v>
      </c>
      <c r="L168" s="46">
        <f t="shared" si="39"/>
        <v>8.6023895390577394</v>
      </c>
      <c r="M168" s="46">
        <f t="shared" si="40"/>
        <v>0</v>
      </c>
      <c r="N168" s="46">
        <f t="shared" si="41"/>
        <v>81.306489700000014</v>
      </c>
      <c r="O168" s="46">
        <f t="shared" si="42"/>
        <v>0</v>
      </c>
      <c r="P168" s="20">
        <f t="shared" si="43"/>
        <v>0</v>
      </c>
    </row>
    <row r="169" spans="1:16" x14ac:dyDescent="0.25">
      <c r="A169" s="39" t="s">
        <v>55</v>
      </c>
      <c r="B169" s="49"/>
      <c r="C169" s="44"/>
      <c r="D169" s="55">
        <v>319.02</v>
      </c>
      <c r="E169" s="20">
        <v>8944.23</v>
      </c>
      <c r="F169" s="20">
        <v>0</v>
      </c>
      <c r="G169" s="20">
        <f t="shared" si="36"/>
        <v>8944.23</v>
      </c>
      <c r="H169" s="20">
        <v>1584.5</v>
      </c>
      <c r="I169" s="20">
        <v>0</v>
      </c>
      <c r="J169" s="46">
        <f t="shared" si="37"/>
        <v>271.00972810585893</v>
      </c>
      <c r="K169" s="58">
        <f t="shared" si="38"/>
        <v>0</v>
      </c>
      <c r="L169" s="46">
        <f t="shared" si="39"/>
        <v>48.010271894141056</v>
      </c>
      <c r="M169" s="46">
        <f t="shared" si="40"/>
        <v>0</v>
      </c>
      <c r="N169" s="46">
        <f t="shared" si="41"/>
        <v>319.02</v>
      </c>
      <c r="O169" s="46">
        <f t="shared" si="42"/>
        <v>0</v>
      </c>
      <c r="P169" s="20">
        <f t="shared" si="43"/>
        <v>0</v>
      </c>
    </row>
    <row r="170" spans="1:16" x14ac:dyDescent="0.25">
      <c r="A170" s="39" t="s">
        <v>56</v>
      </c>
      <c r="B170" s="49"/>
      <c r="C170" s="44"/>
      <c r="D170" s="55">
        <v>581</v>
      </c>
      <c r="E170" s="20">
        <v>24252.98</v>
      </c>
      <c r="F170" s="20">
        <v>285</v>
      </c>
      <c r="G170" s="20">
        <f t="shared" si="36"/>
        <v>24537.98</v>
      </c>
      <c r="H170" s="20">
        <v>3074.74</v>
      </c>
      <c r="I170" s="20">
        <v>0</v>
      </c>
      <c r="J170" s="46">
        <f t="shared" si="37"/>
        <v>510.30761837298172</v>
      </c>
      <c r="K170" s="58">
        <f t="shared" si="38"/>
        <v>5.996692828522507</v>
      </c>
      <c r="L170" s="46">
        <f t="shared" si="39"/>
        <v>63.944271146856501</v>
      </c>
      <c r="M170" s="46">
        <f t="shared" si="40"/>
        <v>0.75141765163926666</v>
      </c>
      <c r="N170" s="46">
        <f t="shared" si="41"/>
        <v>574.25188951983819</v>
      </c>
      <c r="O170" s="46">
        <f t="shared" si="42"/>
        <v>6.7481104801617739</v>
      </c>
      <c r="P170" s="20">
        <f t="shared" si="43"/>
        <v>0</v>
      </c>
    </row>
    <row r="171" spans="1:16" x14ac:dyDescent="0.25">
      <c r="A171" s="39" t="s">
        <v>143</v>
      </c>
      <c r="B171" s="49"/>
      <c r="C171" s="44"/>
      <c r="D171" s="55">
        <v>705.47</v>
      </c>
      <c r="E171" s="20">
        <f>32496.74+122.28</f>
        <v>32619.02</v>
      </c>
      <c r="F171" s="20">
        <v>2864.6</v>
      </c>
      <c r="G171" s="20">
        <f t="shared" si="36"/>
        <v>35483.620000000003</v>
      </c>
      <c r="H171" s="20">
        <v>3325.6</v>
      </c>
      <c r="I171" s="20">
        <v>0</v>
      </c>
      <c r="J171" s="46">
        <f t="shared" si="37"/>
        <v>592.94518259836195</v>
      </c>
      <c r="K171" s="58">
        <f t="shared" si="38"/>
        <v>52.072403464949822</v>
      </c>
      <c r="L171" s="46">
        <f t="shared" si="39"/>
        <v>55.572078024990482</v>
      </c>
      <c r="M171" s="46">
        <f t="shared" si="40"/>
        <v>4.8803359116977676</v>
      </c>
      <c r="N171" s="46">
        <f t="shared" si="41"/>
        <v>648.5172606233524</v>
      </c>
      <c r="O171" s="46">
        <f t="shared" si="42"/>
        <v>56.952739376647592</v>
      </c>
      <c r="P171" s="20">
        <f t="shared" si="43"/>
        <v>0</v>
      </c>
    </row>
    <row r="172" spans="1:16" x14ac:dyDescent="0.25">
      <c r="A172" s="39" t="s">
        <v>204</v>
      </c>
      <c r="B172" s="49"/>
      <c r="C172" s="44"/>
      <c r="D172" s="55">
        <v>157.28109300000003</v>
      </c>
      <c r="E172" s="20">
        <f>5926.82+30.84</f>
        <v>5957.66</v>
      </c>
      <c r="F172" s="20">
        <v>0</v>
      </c>
      <c r="G172" s="20">
        <f t="shared" si="36"/>
        <v>5957.66</v>
      </c>
      <c r="H172" s="20">
        <v>699.8</v>
      </c>
      <c r="I172" s="20">
        <v>0</v>
      </c>
      <c r="J172" s="46">
        <f t="shared" si="37"/>
        <v>140.74846510867209</v>
      </c>
      <c r="K172" s="58">
        <f t="shared" si="38"/>
        <v>0</v>
      </c>
      <c r="L172" s="46">
        <f t="shared" si="39"/>
        <v>16.532627891327934</v>
      </c>
      <c r="M172" s="46">
        <f t="shared" si="40"/>
        <v>0</v>
      </c>
      <c r="N172" s="46">
        <f t="shared" si="41"/>
        <v>157.28109300000003</v>
      </c>
      <c r="O172" s="46">
        <f t="shared" si="42"/>
        <v>0</v>
      </c>
      <c r="P172" s="20">
        <f t="shared" si="43"/>
        <v>0</v>
      </c>
    </row>
    <row r="173" spans="1:16" x14ac:dyDescent="0.25">
      <c r="A173" s="39" t="s">
        <v>37</v>
      </c>
      <c r="B173" s="49"/>
      <c r="C173" s="44"/>
      <c r="D173" s="55">
        <v>211.06</v>
      </c>
      <c r="E173" s="20">
        <v>8345.9</v>
      </c>
      <c r="F173" s="20">
        <v>0</v>
      </c>
      <c r="G173" s="20">
        <f t="shared" si="36"/>
        <v>8345.9</v>
      </c>
      <c r="H173" s="20">
        <v>1815.1</v>
      </c>
      <c r="I173" s="20">
        <v>0</v>
      </c>
      <c r="J173" s="46">
        <f t="shared" si="37"/>
        <v>173.35750949709674</v>
      </c>
      <c r="K173" s="58">
        <f t="shared" si="38"/>
        <v>0</v>
      </c>
      <c r="L173" s="46">
        <f t="shared" si="39"/>
        <v>37.70249050290326</v>
      </c>
      <c r="M173" s="46">
        <f t="shared" si="40"/>
        <v>0</v>
      </c>
      <c r="N173" s="46">
        <f t="shared" si="41"/>
        <v>211.06</v>
      </c>
      <c r="O173" s="46">
        <f t="shared" si="42"/>
        <v>0</v>
      </c>
      <c r="P173" s="20">
        <f t="shared" si="43"/>
        <v>0</v>
      </c>
    </row>
    <row r="174" spans="1:16" x14ac:dyDescent="0.25">
      <c r="A174" s="39" t="s">
        <v>205</v>
      </c>
      <c r="B174" s="49"/>
      <c r="C174" s="44"/>
      <c r="D174" s="55">
        <v>59.792635999999995</v>
      </c>
      <c r="E174" s="20">
        <v>2538.0300000000002</v>
      </c>
      <c r="F174" s="20">
        <v>0</v>
      </c>
      <c r="G174" s="20">
        <f t="shared" si="36"/>
        <v>2538.0300000000002</v>
      </c>
      <c r="H174" s="20">
        <v>299.10000000000002</v>
      </c>
      <c r="I174" s="20">
        <v>0</v>
      </c>
      <c r="J174" s="46">
        <f t="shared" si="37"/>
        <v>53.489090717408075</v>
      </c>
      <c r="K174" s="58">
        <f t="shared" si="38"/>
        <v>0</v>
      </c>
      <c r="L174" s="46">
        <f t="shared" si="39"/>
        <v>6.3035452825919194</v>
      </c>
      <c r="M174" s="46">
        <f t="shared" si="40"/>
        <v>0</v>
      </c>
      <c r="N174" s="46">
        <f t="shared" si="41"/>
        <v>59.792635999999995</v>
      </c>
      <c r="O174" s="46">
        <f t="shared" si="42"/>
        <v>0</v>
      </c>
      <c r="P174" s="20">
        <f t="shared" si="43"/>
        <v>0</v>
      </c>
    </row>
    <row r="175" spans="1:16" x14ac:dyDescent="0.25">
      <c r="A175" s="39" t="s">
        <v>38</v>
      </c>
      <c r="B175" s="49"/>
      <c r="C175" s="44"/>
      <c r="D175" s="55">
        <v>123.71780000000004</v>
      </c>
      <c r="E175" s="20">
        <v>4328.3999999999996</v>
      </c>
      <c r="F175" s="20">
        <v>0</v>
      </c>
      <c r="G175" s="20">
        <f t="shared" si="36"/>
        <v>4328.3999999999996</v>
      </c>
      <c r="H175" s="20">
        <v>679.7</v>
      </c>
      <c r="I175" s="20">
        <v>0</v>
      </c>
      <c r="J175" s="46">
        <f t="shared" si="37"/>
        <v>106.92680368203514</v>
      </c>
      <c r="K175" s="58">
        <f t="shared" si="38"/>
        <v>0</v>
      </c>
      <c r="L175" s="46">
        <f t="shared" si="39"/>
        <v>16.790996317964897</v>
      </c>
      <c r="M175" s="46">
        <f t="shared" si="40"/>
        <v>0</v>
      </c>
      <c r="N175" s="46">
        <f t="shared" si="41"/>
        <v>123.71780000000004</v>
      </c>
      <c r="O175" s="46">
        <f t="shared" si="42"/>
        <v>0</v>
      </c>
      <c r="P175" s="20">
        <f t="shared" si="43"/>
        <v>0</v>
      </c>
    </row>
    <row r="176" spans="1:16" x14ac:dyDescent="0.25">
      <c r="A176" s="39" t="s">
        <v>39</v>
      </c>
      <c r="B176" s="49"/>
      <c r="C176" s="44"/>
      <c r="D176" s="55">
        <v>121.4286</v>
      </c>
      <c r="E176" s="20">
        <v>5210.04</v>
      </c>
      <c r="F176" s="20">
        <v>0</v>
      </c>
      <c r="G176" s="20">
        <f t="shared" si="36"/>
        <v>5210.04</v>
      </c>
      <c r="H176" s="20">
        <v>1225.7</v>
      </c>
      <c r="I176" s="20">
        <v>0</v>
      </c>
      <c r="J176" s="46">
        <f t="shared" si="37"/>
        <v>98.302271866793873</v>
      </c>
      <c r="K176" s="58">
        <f t="shared" si="38"/>
        <v>0</v>
      </c>
      <c r="L176" s="46">
        <f t="shared" si="39"/>
        <v>23.12632813320613</v>
      </c>
      <c r="M176" s="46">
        <f t="shared" si="40"/>
        <v>0</v>
      </c>
      <c r="N176" s="46">
        <f t="shared" si="41"/>
        <v>121.4286</v>
      </c>
      <c r="O176" s="46">
        <f t="shared" si="42"/>
        <v>0</v>
      </c>
      <c r="P176" s="20">
        <f t="shared" si="43"/>
        <v>0</v>
      </c>
    </row>
    <row r="177" spans="1:16" x14ac:dyDescent="0.25">
      <c r="A177" s="39" t="s">
        <v>206</v>
      </c>
      <c r="B177" s="49"/>
      <c r="C177" s="44"/>
      <c r="D177" s="55">
        <v>96.915905000000009</v>
      </c>
      <c r="E177" s="20">
        <v>3765.7</v>
      </c>
      <c r="F177" s="20">
        <v>865.5</v>
      </c>
      <c r="G177" s="20">
        <f t="shared" si="36"/>
        <v>4631.2</v>
      </c>
      <c r="H177" s="20">
        <v>421</v>
      </c>
      <c r="I177" s="20">
        <v>0</v>
      </c>
      <c r="J177" s="46">
        <f t="shared" si="37"/>
        <v>72.237089477554349</v>
      </c>
      <c r="K177" s="58">
        <f t="shared" si="38"/>
        <v>16.602809820969085</v>
      </c>
      <c r="L177" s="46">
        <f t="shared" si="39"/>
        <v>6.5667245357683406</v>
      </c>
      <c r="M177" s="46">
        <f t="shared" si="40"/>
        <v>1.5092811657082346</v>
      </c>
      <c r="N177" s="46">
        <f t="shared" si="41"/>
        <v>78.803814013322693</v>
      </c>
      <c r="O177" s="46">
        <f t="shared" si="42"/>
        <v>18.11209098667732</v>
      </c>
      <c r="P177" s="20">
        <f t="shared" si="43"/>
        <v>0</v>
      </c>
    </row>
    <row r="178" spans="1:16" x14ac:dyDescent="0.25">
      <c r="A178" s="39" t="s">
        <v>207</v>
      </c>
      <c r="B178" s="49"/>
      <c r="C178" s="44"/>
      <c r="D178" s="55">
        <v>71.182537000000025</v>
      </c>
      <c r="E178" s="20">
        <v>2536.69</v>
      </c>
      <c r="F178" s="20">
        <v>0</v>
      </c>
      <c r="G178" s="20">
        <f t="shared" si="36"/>
        <v>2536.69</v>
      </c>
      <c r="H178" s="20">
        <v>315.55</v>
      </c>
      <c r="I178" s="20">
        <v>0</v>
      </c>
      <c r="J178" s="46">
        <f t="shared" si="37"/>
        <v>63.307446001223617</v>
      </c>
      <c r="K178" s="58">
        <f t="shared" si="38"/>
        <v>0</v>
      </c>
      <c r="L178" s="46">
        <f t="shared" si="39"/>
        <v>7.8750909987764075</v>
      </c>
      <c r="M178" s="46">
        <f t="shared" si="40"/>
        <v>0</v>
      </c>
      <c r="N178" s="46">
        <f t="shared" si="41"/>
        <v>71.182537000000025</v>
      </c>
      <c r="O178" s="46">
        <f t="shared" si="42"/>
        <v>0</v>
      </c>
      <c r="P178" s="20">
        <f t="shared" si="43"/>
        <v>0</v>
      </c>
    </row>
    <row r="179" spans="1:16" x14ac:dyDescent="0.25">
      <c r="A179" s="39" t="s">
        <v>107</v>
      </c>
      <c r="B179" s="79">
        <f>97.31+74.97</f>
        <v>172.28</v>
      </c>
      <c r="C179" s="44">
        <v>4034.45</v>
      </c>
      <c r="D179" s="55">
        <f>B179*C179/(C179+C180)</f>
        <v>78.754781113039854</v>
      </c>
      <c r="E179" s="20">
        <v>2804.42</v>
      </c>
      <c r="F179" s="20">
        <v>871.1</v>
      </c>
      <c r="G179" s="20">
        <f t="shared" si="36"/>
        <v>3675.52</v>
      </c>
      <c r="H179" s="20">
        <v>358.93</v>
      </c>
      <c r="I179" s="20">
        <v>0</v>
      </c>
      <c r="J179" s="46">
        <f t="shared" si="37"/>
        <v>54.743889067662565</v>
      </c>
      <c r="K179" s="58">
        <f t="shared" si="38"/>
        <v>17.004372300454591</v>
      </c>
      <c r="L179" s="46">
        <f t="shared" si="39"/>
        <v>5.3459712103474111</v>
      </c>
      <c r="M179" s="46">
        <f t="shared" si="40"/>
        <v>1.6605485345752882</v>
      </c>
      <c r="N179" s="46">
        <f t="shared" si="41"/>
        <v>60.089860278009979</v>
      </c>
      <c r="O179" s="46">
        <f t="shared" si="42"/>
        <v>18.664920835029879</v>
      </c>
      <c r="P179" s="20">
        <f t="shared" si="43"/>
        <v>0</v>
      </c>
    </row>
    <row r="180" spans="1:16" x14ac:dyDescent="0.25">
      <c r="A180" s="39" t="s">
        <v>108</v>
      </c>
      <c r="B180" s="80"/>
      <c r="C180" s="44">
        <v>4791.1099999999997</v>
      </c>
      <c r="D180" s="55">
        <f>B179*C180/(C179+C180)</f>
        <v>93.525218886960147</v>
      </c>
      <c r="E180" s="20">
        <v>4274.3100000000004</v>
      </c>
      <c r="F180" s="20">
        <v>31.1</v>
      </c>
      <c r="G180" s="20">
        <f t="shared" si="36"/>
        <v>4305.4100000000008</v>
      </c>
      <c r="H180" s="20">
        <v>485.7</v>
      </c>
      <c r="I180" s="20">
        <v>0</v>
      </c>
      <c r="J180" s="46">
        <f t="shared" si="37"/>
        <v>83.436986072271893</v>
      </c>
      <c r="K180" s="58">
        <f t="shared" si="38"/>
        <v>0.60708986171982282</v>
      </c>
      <c r="L180" s="46">
        <f t="shared" si="39"/>
        <v>9.4126562012218322</v>
      </c>
      <c r="M180" s="46">
        <f t="shared" si="40"/>
        <v>6.8486751746597463E-2</v>
      </c>
      <c r="N180" s="46">
        <f t="shared" si="41"/>
        <v>92.849642273493728</v>
      </c>
      <c r="O180" s="46">
        <f t="shared" si="42"/>
        <v>0.67557661346642028</v>
      </c>
      <c r="P180" s="20">
        <f t="shared" si="43"/>
        <v>0</v>
      </c>
    </row>
    <row r="181" spans="1:16" x14ac:dyDescent="0.25">
      <c r="A181" s="39" t="s">
        <v>208</v>
      </c>
      <c r="B181" s="49"/>
      <c r="C181" s="44"/>
      <c r="D181" s="55">
        <v>54.006361999999996</v>
      </c>
      <c r="E181" s="20">
        <v>2467.02</v>
      </c>
      <c r="F181" s="20">
        <v>359.7</v>
      </c>
      <c r="G181" s="20">
        <f t="shared" si="36"/>
        <v>2826.72</v>
      </c>
      <c r="H181" s="20">
        <v>377.6</v>
      </c>
      <c r="I181" s="20">
        <v>0</v>
      </c>
      <c r="J181" s="46">
        <f t="shared" si="37"/>
        <v>41.579734602424224</v>
      </c>
      <c r="K181" s="58">
        <f t="shared" si="38"/>
        <v>6.0624682963624101</v>
      </c>
      <c r="L181" s="46">
        <f t="shared" si="39"/>
        <v>5.5543201257554298</v>
      </c>
      <c r="M181" s="46">
        <f t="shared" si="40"/>
        <v>0.80983897545793215</v>
      </c>
      <c r="N181" s="46">
        <f t="shared" si="41"/>
        <v>47.134054728179656</v>
      </c>
      <c r="O181" s="46">
        <f t="shared" si="42"/>
        <v>6.8723072718203424</v>
      </c>
      <c r="P181" s="20">
        <f t="shared" si="43"/>
        <v>0</v>
      </c>
    </row>
    <row r="182" spans="1:16" x14ac:dyDescent="0.25">
      <c r="A182" s="39" t="s">
        <v>41</v>
      </c>
      <c r="B182" s="79">
        <v>245.29</v>
      </c>
      <c r="C182" s="44">
        <v>4105.29</v>
      </c>
      <c r="D182" s="55">
        <f>B182*C182/(C182+C183+C184)</f>
        <v>79.429753354315054</v>
      </c>
      <c r="E182" s="20">
        <f>3501.01+66.28</f>
        <v>3567.2900000000004</v>
      </c>
      <c r="F182" s="20">
        <v>25.9</v>
      </c>
      <c r="G182" s="20">
        <f t="shared" si="36"/>
        <v>3593.1900000000005</v>
      </c>
      <c r="H182" s="20">
        <v>512.1</v>
      </c>
      <c r="I182" s="20">
        <v>0</v>
      </c>
      <c r="J182" s="46">
        <f t="shared" si="37"/>
        <v>69.020450405041913</v>
      </c>
      <c r="K182" s="58">
        <f t="shared" si="38"/>
        <v>0.50111700071779564</v>
      </c>
      <c r="L182" s="46">
        <f t="shared" si="39"/>
        <v>9.8367669542723846</v>
      </c>
      <c r="M182" s="46">
        <f t="shared" si="40"/>
        <v>7.141899428295842E-2</v>
      </c>
      <c r="N182" s="46">
        <f t="shared" si="41"/>
        <v>78.857217359314291</v>
      </c>
      <c r="O182" s="46">
        <f t="shared" si="42"/>
        <v>0.57253599500075403</v>
      </c>
      <c r="P182" s="20">
        <f t="shared" si="43"/>
        <v>0</v>
      </c>
    </row>
    <row r="183" spans="1:16" x14ac:dyDescent="0.25">
      <c r="A183" s="39" t="s">
        <v>40</v>
      </c>
      <c r="B183" s="85"/>
      <c r="C183" s="44">
        <v>4505.7700000000004</v>
      </c>
      <c r="D183" s="55">
        <f>B182*C183/(C182+C183+C184)</f>
        <v>87.178299163097407</v>
      </c>
      <c r="E183" s="20">
        <v>3660.17</v>
      </c>
      <c r="F183" s="20">
        <v>57.8</v>
      </c>
      <c r="G183" s="20">
        <f t="shared" si="36"/>
        <v>3717.9700000000003</v>
      </c>
      <c r="H183" s="20">
        <v>787.8</v>
      </c>
      <c r="I183" s="20">
        <v>0</v>
      </c>
      <c r="J183" s="46">
        <f t="shared" si="37"/>
        <v>70.817506274797481</v>
      </c>
      <c r="K183" s="58">
        <f t="shared" si="38"/>
        <v>1.1183228819107567</v>
      </c>
      <c r="L183" s="46">
        <f t="shared" si="39"/>
        <v>15.005508770454156</v>
      </c>
      <c r="M183" s="46">
        <f t="shared" si="40"/>
        <v>0.23696123593501128</v>
      </c>
      <c r="N183" s="46">
        <f t="shared" si="41"/>
        <v>85.823015045251637</v>
      </c>
      <c r="O183" s="46">
        <f t="shared" si="42"/>
        <v>1.355284117845768</v>
      </c>
      <c r="P183" s="20">
        <f t="shared" si="43"/>
        <v>0</v>
      </c>
    </row>
    <row r="184" spans="1:16" x14ac:dyDescent="0.25">
      <c r="A184" s="39" t="s">
        <v>42</v>
      </c>
      <c r="B184" s="80"/>
      <c r="C184" s="44">
        <v>4066.64</v>
      </c>
      <c r="D184" s="55">
        <f>B182*C184/(C182+C183+C184)</f>
        <v>78.681947482587518</v>
      </c>
      <c r="E184" s="20">
        <f>3198.64+52.7</f>
        <v>3251.3399999999997</v>
      </c>
      <c r="F184" s="20">
        <v>321.3</v>
      </c>
      <c r="G184" s="20">
        <f t="shared" si="36"/>
        <v>3572.64</v>
      </c>
      <c r="H184" s="20">
        <v>494</v>
      </c>
      <c r="I184" s="20">
        <v>0</v>
      </c>
      <c r="J184" s="46">
        <f t="shared" si="37"/>
        <v>62.907403440687176</v>
      </c>
      <c r="K184" s="58">
        <f t="shared" si="38"/>
        <v>6.2165595494450878</v>
      </c>
      <c r="L184" s="46">
        <f t="shared" si="39"/>
        <v>8.698401546111409</v>
      </c>
      <c r="M184" s="46">
        <f t="shared" si="40"/>
        <v>0.8595829463438448</v>
      </c>
      <c r="N184" s="46">
        <f t="shared" si="41"/>
        <v>71.605804986798589</v>
      </c>
      <c r="O184" s="46">
        <f t="shared" si="42"/>
        <v>7.0761424957889325</v>
      </c>
      <c r="P184" s="20">
        <f t="shared" si="43"/>
        <v>0</v>
      </c>
    </row>
    <row r="185" spans="1:16" ht="15.75" x14ac:dyDescent="0.25">
      <c r="A185" s="63" t="s">
        <v>256</v>
      </c>
      <c r="B185" s="62"/>
      <c r="C185" s="44"/>
      <c r="D185" s="55">
        <v>31.590537411259788</v>
      </c>
      <c r="E185" s="20">
        <v>1144.5</v>
      </c>
      <c r="F185" s="20">
        <v>148.19999999999999</v>
      </c>
      <c r="G185" s="20">
        <f t="shared" si="36"/>
        <v>1292.7</v>
      </c>
      <c r="H185" s="20">
        <v>326.10000000000002</v>
      </c>
      <c r="I185" s="20">
        <v>1</v>
      </c>
      <c r="J185" s="46">
        <f t="shared" ref="J185" si="44">E185*(D185/(G185-I185+H185))</f>
        <v>22.348479458021281</v>
      </c>
      <c r="K185" s="58">
        <f t="shared" ref="K185" si="45">F185*(D185/(G185-I185+H185))</f>
        <v>2.8938791224803437</v>
      </c>
      <c r="L185" s="46">
        <f t="shared" ref="L185" si="46">E185*(D185-J185-K185)/G185</f>
        <v>5.6203996842289143</v>
      </c>
      <c r="M185" s="46">
        <f t="shared" ref="M185" si="47">F185*(D185-J185-K185)/G185</f>
        <v>0.72777914652924869</v>
      </c>
      <c r="N185" s="46">
        <f t="shared" ref="N185" si="48">J185+L185</f>
        <v>27.968879142250195</v>
      </c>
      <c r="O185" s="46">
        <f t="shared" ref="O185" si="49">K185+M185</f>
        <v>3.6216582690095924</v>
      </c>
      <c r="P185" s="20">
        <f t="shared" ref="P185" si="50">D185-(N185+O185)</f>
        <v>0</v>
      </c>
    </row>
    <row r="186" spans="1:16" x14ac:dyDescent="0.25">
      <c r="A186" s="39" t="s">
        <v>43</v>
      </c>
      <c r="B186" s="49"/>
      <c r="C186" s="44"/>
      <c r="D186" s="55">
        <v>100.32079999999999</v>
      </c>
      <c r="E186" s="20">
        <v>4017.29</v>
      </c>
      <c r="F186" s="20">
        <v>0</v>
      </c>
      <c r="G186" s="20">
        <f t="shared" si="36"/>
        <v>4017.29</v>
      </c>
      <c r="H186" s="20">
        <v>742.6</v>
      </c>
      <c r="I186" s="20">
        <v>0</v>
      </c>
      <c r="J186" s="46">
        <f t="shared" si="37"/>
        <v>84.669550479527871</v>
      </c>
      <c r="K186" s="58">
        <f t="shared" si="38"/>
        <v>0</v>
      </c>
      <c r="L186" s="46">
        <f t="shared" si="39"/>
        <v>15.65124952047212</v>
      </c>
      <c r="M186" s="46">
        <f t="shared" si="40"/>
        <v>0</v>
      </c>
      <c r="N186" s="46">
        <f t="shared" si="41"/>
        <v>100.32079999999999</v>
      </c>
      <c r="O186" s="46">
        <f t="shared" si="42"/>
        <v>0</v>
      </c>
      <c r="P186" s="20">
        <f t="shared" si="43"/>
        <v>0</v>
      </c>
    </row>
    <row r="187" spans="1:16" x14ac:dyDescent="0.25">
      <c r="A187" s="39" t="s">
        <v>44</v>
      </c>
      <c r="B187" s="79">
        <v>133.25</v>
      </c>
      <c r="C187" s="44">
        <v>3788</v>
      </c>
      <c r="D187" s="55">
        <f>B187*C187/(C187+C188+C189)</f>
        <v>79.989065409452877</v>
      </c>
      <c r="E187" s="20">
        <v>3455.86</v>
      </c>
      <c r="F187" s="20">
        <v>0</v>
      </c>
      <c r="G187" s="20">
        <f t="shared" si="36"/>
        <v>3455.86</v>
      </c>
      <c r="H187" s="20">
        <v>332.14</v>
      </c>
      <c r="I187" s="20">
        <v>0</v>
      </c>
      <c r="J187" s="46">
        <f t="shared" si="37"/>
        <v>72.975451844221709</v>
      </c>
      <c r="K187" s="58">
        <f t="shared" si="38"/>
        <v>0</v>
      </c>
      <c r="L187" s="46">
        <f t="shared" si="39"/>
        <v>7.013613565231168</v>
      </c>
      <c r="M187" s="46">
        <f t="shared" si="40"/>
        <v>0</v>
      </c>
      <c r="N187" s="46">
        <f t="shared" si="41"/>
        <v>79.989065409452877</v>
      </c>
      <c r="O187" s="46">
        <f t="shared" si="42"/>
        <v>0</v>
      </c>
      <c r="P187" s="20">
        <f t="shared" si="43"/>
        <v>0</v>
      </c>
    </row>
    <row r="188" spans="1:16" x14ac:dyDescent="0.25">
      <c r="A188" s="39" t="s">
        <v>65</v>
      </c>
      <c r="B188" s="85"/>
      <c r="C188" s="44">
        <v>2008.25</v>
      </c>
      <c r="D188" s="55">
        <f>B187*C188/(C187+C188+C189)</f>
        <v>42.407085693910702</v>
      </c>
      <c r="E188" s="20">
        <v>1750.55</v>
      </c>
      <c r="F188" s="20">
        <v>21.7</v>
      </c>
      <c r="G188" s="20">
        <f t="shared" si="36"/>
        <v>1772.25</v>
      </c>
      <c r="H188" s="20">
        <v>236</v>
      </c>
      <c r="I188" s="20">
        <v>0</v>
      </c>
      <c r="J188" s="46">
        <f t="shared" si="37"/>
        <v>36.965379739313022</v>
      </c>
      <c r="K188" s="58">
        <f t="shared" si="38"/>
        <v>0.4582266946634444</v>
      </c>
      <c r="L188" s="46">
        <f t="shared" si="39"/>
        <v>4.9224599342518696</v>
      </c>
      <c r="M188" s="46">
        <f t="shared" si="40"/>
        <v>6.1019325682365864E-2</v>
      </c>
      <c r="N188" s="46">
        <f t="shared" si="41"/>
        <v>41.887839673564891</v>
      </c>
      <c r="O188" s="46">
        <f t="shared" si="42"/>
        <v>0.51924602034581024</v>
      </c>
      <c r="P188" s="20">
        <f t="shared" si="43"/>
        <v>0</v>
      </c>
    </row>
    <row r="189" spans="1:16" x14ac:dyDescent="0.25">
      <c r="A189" s="39" t="s">
        <v>66</v>
      </c>
      <c r="B189" s="80"/>
      <c r="C189" s="44">
        <v>514</v>
      </c>
      <c r="D189" s="55">
        <f>B187*C189/(C187+C188+C189)</f>
        <v>10.853848896636425</v>
      </c>
      <c r="E189" s="20">
        <v>361.5</v>
      </c>
      <c r="F189" s="20">
        <v>48.5</v>
      </c>
      <c r="G189" s="20">
        <f t="shared" si="36"/>
        <v>410</v>
      </c>
      <c r="H189" s="20">
        <v>104</v>
      </c>
      <c r="I189" s="20">
        <v>0</v>
      </c>
      <c r="J189" s="46">
        <f t="shared" si="37"/>
        <v>7.6335921714670576</v>
      </c>
      <c r="K189" s="58">
        <f t="shared" si="38"/>
        <v>1.0241472207915692</v>
      </c>
      <c r="L189" s="46">
        <f t="shared" si="39"/>
        <v>1.9363258191038391</v>
      </c>
      <c r="M189" s="46">
        <f t="shared" si="40"/>
        <v>0.25978368527395906</v>
      </c>
      <c r="N189" s="46">
        <f t="shared" si="41"/>
        <v>9.5699179905708966</v>
      </c>
      <c r="O189" s="46">
        <f t="shared" si="42"/>
        <v>1.2839309060655282</v>
      </c>
      <c r="P189" s="20">
        <f t="shared" si="43"/>
        <v>0</v>
      </c>
    </row>
    <row r="190" spans="1:16" x14ac:dyDescent="0.25">
      <c r="A190" s="39" t="s">
        <v>45</v>
      </c>
      <c r="B190" s="79">
        <f>1.11+3.05+130.57</f>
        <v>134.72999999999999</v>
      </c>
      <c r="C190" s="44">
        <v>4412.6099999999997</v>
      </c>
      <c r="D190" s="55">
        <f>B190*C190/(C190+C191)</f>
        <v>79.156146478115616</v>
      </c>
      <c r="E190" s="20">
        <v>3413.61</v>
      </c>
      <c r="F190" s="20">
        <v>414.9</v>
      </c>
      <c r="G190" s="20">
        <f t="shared" si="36"/>
        <v>3828.51</v>
      </c>
      <c r="H190" s="20">
        <v>584.1</v>
      </c>
      <c r="I190" s="20">
        <v>0</v>
      </c>
      <c r="J190" s="46">
        <f t="shared" si="37"/>
        <v>61.235462272704865</v>
      </c>
      <c r="K190" s="58">
        <f t="shared" si="38"/>
        <v>7.442734611436352</v>
      </c>
      <c r="L190" s="46">
        <f t="shared" si="39"/>
        <v>9.3424422330063006</v>
      </c>
      <c r="M190" s="46">
        <f t="shared" si="40"/>
        <v>1.1355073609680992</v>
      </c>
      <c r="N190" s="46">
        <f t="shared" si="41"/>
        <v>70.57790450571116</v>
      </c>
      <c r="O190" s="46">
        <f t="shared" si="42"/>
        <v>8.5782419724044505</v>
      </c>
      <c r="P190" s="20">
        <f t="shared" si="43"/>
        <v>0</v>
      </c>
    </row>
    <row r="191" spans="1:16" x14ac:dyDescent="0.25">
      <c r="A191" s="39" t="s">
        <v>46</v>
      </c>
      <c r="B191" s="80"/>
      <c r="C191" s="44">
        <v>3098</v>
      </c>
      <c r="D191" s="55">
        <f>B190*C191/(C190+C191)</f>
        <v>55.573853521884374</v>
      </c>
      <c r="E191" s="20">
        <v>2373.5</v>
      </c>
      <c r="F191" s="20">
        <v>413.4</v>
      </c>
      <c r="G191" s="20">
        <f t="shared" si="36"/>
        <v>2786.9</v>
      </c>
      <c r="H191" s="20">
        <v>311.10000000000002</v>
      </c>
      <c r="I191" s="20">
        <v>0</v>
      </c>
      <c r="J191" s="46">
        <f t="shared" si="37"/>
        <v>42.577321282825231</v>
      </c>
      <c r="K191" s="58">
        <f t="shared" si="38"/>
        <v>7.415826677193996</v>
      </c>
      <c r="L191" s="46">
        <f t="shared" si="39"/>
        <v>4.752881212489477</v>
      </c>
      <c r="M191" s="46">
        <f t="shared" si="40"/>
        <v>0.82782434937566884</v>
      </c>
      <c r="N191" s="46">
        <f t="shared" si="41"/>
        <v>47.330202495314708</v>
      </c>
      <c r="O191" s="46">
        <f t="shared" si="42"/>
        <v>8.2436510265696654</v>
      </c>
      <c r="P191" s="20">
        <f t="shared" si="43"/>
        <v>0</v>
      </c>
    </row>
    <row r="192" spans="1:16" x14ac:dyDescent="0.25">
      <c r="A192" s="39" t="s">
        <v>47</v>
      </c>
      <c r="B192" s="49"/>
      <c r="C192" s="44"/>
      <c r="D192" s="55">
        <v>90.316520200000014</v>
      </c>
      <c r="E192" s="20">
        <v>3986.78</v>
      </c>
      <c r="F192" s="20">
        <v>0</v>
      </c>
      <c r="G192" s="20">
        <f t="shared" si="36"/>
        <v>3986.78</v>
      </c>
      <c r="H192" s="20">
        <v>634.4</v>
      </c>
      <c r="I192" s="20">
        <v>0</v>
      </c>
      <c r="J192" s="46">
        <f t="shared" si="37"/>
        <v>77.917782125551497</v>
      </c>
      <c r="K192" s="58">
        <f t="shared" si="38"/>
        <v>0</v>
      </c>
      <c r="L192" s="46">
        <f t="shared" si="39"/>
        <v>12.398738074448516</v>
      </c>
      <c r="M192" s="46">
        <f t="shared" si="40"/>
        <v>0</v>
      </c>
      <c r="N192" s="46">
        <f t="shared" si="41"/>
        <v>90.316520200000014</v>
      </c>
      <c r="O192" s="46">
        <f t="shared" si="42"/>
        <v>0</v>
      </c>
      <c r="P192" s="20">
        <f t="shared" si="43"/>
        <v>0</v>
      </c>
    </row>
    <row r="193" spans="1:16" x14ac:dyDescent="0.25">
      <c r="A193" s="39" t="s">
        <v>67</v>
      </c>
      <c r="B193" s="79">
        <v>54.87</v>
      </c>
      <c r="C193" s="44">
        <v>1137.44</v>
      </c>
      <c r="D193" s="55">
        <f>B193*C193/(C193+C194)</f>
        <v>27.840700173526695</v>
      </c>
      <c r="E193" s="20">
        <v>1068.94</v>
      </c>
      <c r="F193" s="20">
        <v>0</v>
      </c>
      <c r="G193" s="20">
        <f t="shared" si="36"/>
        <v>1068.94</v>
      </c>
      <c r="H193" s="20">
        <v>68.5</v>
      </c>
      <c r="I193" s="20">
        <v>0</v>
      </c>
      <c r="J193" s="46">
        <f t="shared" si="37"/>
        <v>26.164050889268555</v>
      </c>
      <c r="K193" s="58">
        <f t="shared" si="38"/>
        <v>0</v>
      </c>
      <c r="L193" s="46">
        <f t="shared" si="39"/>
        <v>1.67664928425814</v>
      </c>
      <c r="M193" s="46">
        <f t="shared" si="40"/>
        <v>0</v>
      </c>
      <c r="N193" s="46">
        <f t="shared" si="41"/>
        <v>27.840700173526695</v>
      </c>
      <c r="O193" s="46">
        <f t="shared" si="42"/>
        <v>0</v>
      </c>
      <c r="P193" s="20">
        <f t="shared" si="43"/>
        <v>0</v>
      </c>
    </row>
    <row r="194" spans="1:16" x14ac:dyDescent="0.25">
      <c r="A194" s="39" t="s">
        <v>68</v>
      </c>
      <c r="B194" s="80"/>
      <c r="C194" s="44">
        <v>1104.29</v>
      </c>
      <c r="D194" s="55">
        <f>B193*C194/(C193+C194)</f>
        <v>27.029299826473299</v>
      </c>
      <c r="E194" s="20">
        <v>1022.69</v>
      </c>
      <c r="F194" s="20">
        <v>0</v>
      </c>
      <c r="G194" s="20">
        <f t="shared" si="36"/>
        <v>1022.69</v>
      </c>
      <c r="H194" s="20">
        <v>81.599999999999994</v>
      </c>
      <c r="I194" s="20">
        <v>0</v>
      </c>
      <c r="J194" s="46">
        <f t="shared" si="37"/>
        <v>25.032006664495722</v>
      </c>
      <c r="K194" s="58">
        <f t="shared" si="38"/>
        <v>0</v>
      </c>
      <c r="L194" s="46">
        <f t="shared" si="39"/>
        <v>1.9972931619775771</v>
      </c>
      <c r="M194" s="46">
        <f t="shared" si="40"/>
        <v>0</v>
      </c>
      <c r="N194" s="46">
        <f t="shared" si="41"/>
        <v>27.029299826473299</v>
      </c>
      <c r="O194" s="46">
        <f t="shared" si="42"/>
        <v>0</v>
      </c>
      <c r="P194" s="20">
        <f t="shared" si="43"/>
        <v>0</v>
      </c>
    </row>
    <row r="195" spans="1:16" x14ac:dyDescent="0.25">
      <c r="A195" s="39" t="s">
        <v>48</v>
      </c>
      <c r="B195" s="79">
        <v>105</v>
      </c>
      <c r="C195" s="44">
        <v>2392.4</v>
      </c>
      <c r="D195" s="55">
        <f>B195*C195/(C195+C196)</f>
        <v>45.452522214924301</v>
      </c>
      <c r="E195" s="20">
        <v>1752</v>
      </c>
      <c r="F195" s="20">
        <v>241.4</v>
      </c>
      <c r="G195" s="20">
        <f t="shared" si="36"/>
        <v>1993.4</v>
      </c>
      <c r="H195" s="20">
        <v>399</v>
      </c>
      <c r="I195" s="20">
        <v>0</v>
      </c>
      <c r="J195" s="46">
        <f t="shared" si="37"/>
        <v>33.285746079479757</v>
      </c>
      <c r="K195" s="58">
        <f t="shared" si="38"/>
        <v>4.5862894426863097</v>
      </c>
      <c r="L195" s="46">
        <f t="shared" si="39"/>
        <v>6.6624925683317064</v>
      </c>
      <c r="M195" s="46">
        <f t="shared" si="40"/>
        <v>0.91799412442652628</v>
      </c>
      <c r="N195" s="46">
        <f t="shared" si="41"/>
        <v>39.948238647811465</v>
      </c>
      <c r="O195" s="46">
        <f t="shared" si="42"/>
        <v>5.5042835671128358</v>
      </c>
      <c r="P195" s="20">
        <f t="shared" si="43"/>
        <v>0</v>
      </c>
    </row>
    <row r="196" spans="1:16" x14ac:dyDescent="0.25">
      <c r="A196" s="39" t="s">
        <v>109</v>
      </c>
      <c r="B196" s="80"/>
      <c r="C196" s="44">
        <v>3134.29</v>
      </c>
      <c r="D196" s="55">
        <f>B195*C196/(C195+C196)</f>
        <v>59.547477785075692</v>
      </c>
      <c r="E196" s="20">
        <f>2335.8+21.39</f>
        <v>2357.19</v>
      </c>
      <c r="F196" s="20">
        <v>0</v>
      </c>
      <c r="G196" s="20">
        <f t="shared" si="36"/>
        <v>2357.19</v>
      </c>
      <c r="H196" s="20">
        <v>777.1</v>
      </c>
      <c r="I196" s="20">
        <v>0</v>
      </c>
      <c r="J196" s="46">
        <f t="shared" si="37"/>
        <v>44.783577512037041</v>
      </c>
      <c r="K196" s="58">
        <f t="shared" si="38"/>
        <v>0</v>
      </c>
      <c r="L196" s="46">
        <f t="shared" si="39"/>
        <v>14.763900273038649</v>
      </c>
      <c r="M196" s="46">
        <f t="shared" si="40"/>
        <v>0</v>
      </c>
      <c r="N196" s="46">
        <f t="shared" si="41"/>
        <v>59.547477785075692</v>
      </c>
      <c r="O196" s="46">
        <f t="shared" si="42"/>
        <v>0</v>
      </c>
      <c r="P196" s="20">
        <f t="shared" si="43"/>
        <v>0</v>
      </c>
    </row>
    <row r="197" spans="1:16" x14ac:dyDescent="0.25">
      <c r="A197" s="39" t="s">
        <v>209</v>
      </c>
      <c r="B197" s="49"/>
      <c r="C197" s="44"/>
      <c r="D197" s="55">
        <v>103.66499999999999</v>
      </c>
      <c r="E197" s="20">
        <v>3993.9</v>
      </c>
      <c r="F197" s="20">
        <v>751.4</v>
      </c>
      <c r="G197" s="20">
        <f t="shared" si="36"/>
        <v>4745.3</v>
      </c>
      <c r="H197" s="20">
        <v>612.79999999999995</v>
      </c>
      <c r="I197" s="20">
        <v>0</v>
      </c>
      <c r="J197" s="46">
        <f t="shared" si="37"/>
        <v>77.271354304697553</v>
      </c>
      <c r="K197" s="58">
        <f t="shared" si="38"/>
        <v>14.537593736585727</v>
      </c>
      <c r="L197" s="46">
        <f t="shared" si="39"/>
        <v>9.9786917408633116</v>
      </c>
      <c r="M197" s="46">
        <f t="shared" si="40"/>
        <v>1.8773602178533997</v>
      </c>
      <c r="N197" s="46">
        <f t="shared" si="41"/>
        <v>87.250046045560865</v>
      </c>
      <c r="O197" s="46">
        <f t="shared" si="42"/>
        <v>16.414953954439127</v>
      </c>
      <c r="P197" s="20">
        <f t="shared" si="43"/>
        <v>0</v>
      </c>
    </row>
    <row r="198" spans="1:16" x14ac:dyDescent="0.25">
      <c r="A198" s="39" t="s">
        <v>110</v>
      </c>
      <c r="B198" s="79">
        <v>99.77</v>
      </c>
      <c r="C198" s="44">
        <f>G198+H198</f>
        <v>2798.47</v>
      </c>
      <c r="D198" s="55">
        <f>B198*C198/(C198+C199)</f>
        <v>60.944265021424087</v>
      </c>
      <c r="E198" s="20">
        <f>20.87+2551.6</f>
        <v>2572.4699999999998</v>
      </c>
      <c r="F198" s="20">
        <v>0</v>
      </c>
      <c r="G198" s="20">
        <f t="shared" si="36"/>
        <v>2572.4699999999998</v>
      </c>
      <c r="H198" s="20">
        <v>226</v>
      </c>
      <c r="I198" s="20">
        <v>0</v>
      </c>
      <c r="J198" s="46">
        <f t="shared" si="37"/>
        <v>56.022502810343802</v>
      </c>
      <c r="K198" s="58">
        <f t="shared" si="38"/>
        <v>0</v>
      </c>
      <c r="L198" s="46">
        <f t="shared" si="39"/>
        <v>4.921762211080285</v>
      </c>
      <c r="M198" s="46">
        <f t="shared" si="40"/>
        <v>0</v>
      </c>
      <c r="N198" s="46">
        <f t="shared" si="41"/>
        <v>60.944265021424087</v>
      </c>
      <c r="O198" s="46">
        <f t="shared" si="42"/>
        <v>0</v>
      </c>
      <c r="P198" s="20">
        <f t="shared" si="43"/>
        <v>0</v>
      </c>
    </row>
    <row r="199" spans="1:16" x14ac:dyDescent="0.25">
      <c r="A199" s="39" t="s">
        <v>111</v>
      </c>
      <c r="B199" s="80"/>
      <c r="C199" s="44">
        <v>1782.82</v>
      </c>
      <c r="D199" s="55">
        <f>B198*C199/(C198+C199)</f>
        <v>38.825734978575902</v>
      </c>
      <c r="E199" s="20">
        <v>1591.92</v>
      </c>
      <c r="F199" s="20">
        <v>0</v>
      </c>
      <c r="G199" s="20">
        <f t="shared" si="36"/>
        <v>1591.92</v>
      </c>
      <c r="H199" s="20">
        <v>190.9</v>
      </c>
      <c r="I199" s="20">
        <v>0</v>
      </c>
      <c r="J199" s="46">
        <f t="shared" si="37"/>
        <v>34.668370349835961</v>
      </c>
      <c r="K199" s="58">
        <f t="shared" si="38"/>
        <v>0</v>
      </c>
      <c r="L199" s="46">
        <f t="shared" si="39"/>
        <v>4.1573646287399413</v>
      </c>
      <c r="M199" s="46">
        <f t="shared" si="40"/>
        <v>0</v>
      </c>
      <c r="N199" s="46">
        <f t="shared" si="41"/>
        <v>38.825734978575902</v>
      </c>
      <c r="O199" s="46">
        <f t="shared" si="42"/>
        <v>0</v>
      </c>
      <c r="P199" s="20">
        <f t="shared" si="43"/>
        <v>0</v>
      </c>
    </row>
    <row r="200" spans="1:16" x14ac:dyDescent="0.25">
      <c r="A200" s="39" t="s">
        <v>210</v>
      </c>
      <c r="B200" s="49"/>
      <c r="C200" s="44"/>
      <c r="D200" s="55">
        <v>122.632422066</v>
      </c>
      <c r="E200" s="20">
        <v>5021.26</v>
      </c>
      <c r="F200" s="20">
        <v>728.1</v>
      </c>
      <c r="G200" s="20">
        <f t="shared" si="36"/>
        <v>5749.3600000000006</v>
      </c>
      <c r="H200" s="20">
        <v>1130.5999999999999</v>
      </c>
      <c r="I200" s="20">
        <v>0</v>
      </c>
      <c r="J200" s="46">
        <f t="shared" si="37"/>
        <v>89.50186856073627</v>
      </c>
      <c r="K200" s="58">
        <f t="shared" si="38"/>
        <v>12.978079306602741</v>
      </c>
      <c r="L200" s="46">
        <f t="shared" si="39"/>
        <v>17.600361187117958</v>
      </c>
      <c r="M200" s="46">
        <f t="shared" si="40"/>
        <v>2.5521130115430357</v>
      </c>
      <c r="N200" s="46">
        <f t="shared" si="41"/>
        <v>107.10222974785422</v>
      </c>
      <c r="O200" s="46">
        <f t="shared" si="42"/>
        <v>15.530192318145776</v>
      </c>
      <c r="P200" s="20">
        <f t="shared" si="43"/>
        <v>0</v>
      </c>
    </row>
    <row r="201" spans="1:16" x14ac:dyDescent="0.25">
      <c r="A201" s="39" t="s">
        <v>49</v>
      </c>
      <c r="B201" s="49"/>
      <c r="C201" s="44"/>
      <c r="D201" s="55">
        <v>62.4</v>
      </c>
      <c r="E201" s="20">
        <v>2838.49</v>
      </c>
      <c r="F201" s="20">
        <v>265.2</v>
      </c>
      <c r="G201" s="20">
        <f t="shared" si="36"/>
        <v>3103.6899999999996</v>
      </c>
      <c r="H201" s="20">
        <v>687.1</v>
      </c>
      <c r="I201" s="20">
        <v>0</v>
      </c>
      <c r="J201" s="46">
        <f t="shared" si="37"/>
        <v>46.7242384832713</v>
      </c>
      <c r="K201" s="58">
        <f t="shared" si="38"/>
        <v>4.3654436146555202</v>
      </c>
      <c r="L201" s="46">
        <f t="shared" si="39"/>
        <v>10.343888810369494</v>
      </c>
      <c r="M201" s="46">
        <f t="shared" si="40"/>
        <v>0.96642909170368407</v>
      </c>
      <c r="N201" s="46">
        <f t="shared" si="41"/>
        <v>57.068127293640792</v>
      </c>
      <c r="O201" s="46">
        <f t="shared" si="42"/>
        <v>5.3318727063592046</v>
      </c>
      <c r="P201" s="20">
        <f t="shared" si="43"/>
        <v>0</v>
      </c>
    </row>
    <row r="202" spans="1:16" x14ac:dyDescent="0.25">
      <c r="A202" s="39" t="s">
        <v>211</v>
      </c>
      <c r="B202" s="49"/>
      <c r="C202" s="44"/>
      <c r="D202" s="55">
        <v>73.84</v>
      </c>
      <c r="E202" s="20">
        <v>2742.09</v>
      </c>
      <c r="F202" s="20">
        <v>690.4</v>
      </c>
      <c r="G202" s="20">
        <f t="shared" si="36"/>
        <v>3432.4900000000002</v>
      </c>
      <c r="H202" s="20">
        <v>320.89999999999998</v>
      </c>
      <c r="I202" s="20">
        <v>0</v>
      </c>
      <c r="J202" s="46">
        <f t="shared" si="37"/>
        <v>53.944814048100511</v>
      </c>
      <c r="K202" s="58">
        <f t="shared" si="38"/>
        <v>13.582157995838427</v>
      </c>
      <c r="L202" s="46">
        <f t="shared" si="39"/>
        <v>5.0432458151474551</v>
      </c>
      <c r="M202" s="46">
        <f t="shared" si="40"/>
        <v>1.2697821409136105</v>
      </c>
      <c r="N202" s="46">
        <f t="shared" si="41"/>
        <v>58.988059863247969</v>
      </c>
      <c r="O202" s="46">
        <f t="shared" si="42"/>
        <v>14.851940136752038</v>
      </c>
      <c r="P202" s="20">
        <f t="shared" si="43"/>
        <v>0</v>
      </c>
    </row>
    <row r="203" spans="1:16" x14ac:dyDescent="0.25">
      <c r="A203" s="39" t="s">
        <v>50</v>
      </c>
      <c r="B203" s="49"/>
      <c r="C203" s="44"/>
      <c r="D203" s="55">
        <v>43.01</v>
      </c>
      <c r="E203" s="20">
        <v>1998.38</v>
      </c>
      <c r="F203" s="20">
        <v>0</v>
      </c>
      <c r="G203" s="20">
        <f t="shared" si="36"/>
        <v>1998.38</v>
      </c>
      <c r="H203" s="20">
        <v>425.7</v>
      </c>
      <c r="I203" s="20">
        <v>0</v>
      </c>
      <c r="J203" s="46">
        <f t="shared" si="37"/>
        <v>35.456884178739976</v>
      </c>
      <c r="K203" s="58">
        <f t="shared" si="38"/>
        <v>0</v>
      </c>
      <c r="L203" s="46">
        <f t="shared" si="39"/>
        <v>7.5531158212600218</v>
      </c>
      <c r="M203" s="46">
        <f t="shared" si="40"/>
        <v>0</v>
      </c>
      <c r="N203" s="46">
        <f t="shared" si="41"/>
        <v>43.01</v>
      </c>
      <c r="O203" s="46">
        <f t="shared" si="42"/>
        <v>0</v>
      </c>
      <c r="P203" s="20">
        <f t="shared" si="43"/>
        <v>0</v>
      </c>
    </row>
    <row r="204" spans="1:16" x14ac:dyDescent="0.25">
      <c r="A204" s="39" t="s">
        <v>212</v>
      </c>
      <c r="B204" s="49"/>
      <c r="C204" s="44"/>
      <c r="D204" s="55">
        <f>52.87+43.82</f>
        <v>96.69</v>
      </c>
      <c r="E204" s="20">
        <v>5283.96</v>
      </c>
      <c r="F204" s="20">
        <v>0</v>
      </c>
      <c r="G204" s="20">
        <f t="shared" ref="G204:G233" si="51">E204+F204</f>
        <v>5283.96</v>
      </c>
      <c r="H204" s="20">
        <v>494</v>
      </c>
      <c r="I204" s="20">
        <v>0</v>
      </c>
      <c r="J204" s="46">
        <f t="shared" ref="J204:J233" si="52">E204*(D204/(G204-I204+H204))</f>
        <v>88.423265720081133</v>
      </c>
      <c r="K204" s="58">
        <f t="shared" ref="K204:K233" si="53">F204*(D204/(G204-I204+H204))</f>
        <v>0</v>
      </c>
      <c r="L204" s="46">
        <f t="shared" ref="L204:L231" si="54">E204*(D204-J204-K204)/G204</f>
        <v>8.2667342799188646</v>
      </c>
      <c r="M204" s="46">
        <f t="shared" ref="M204:M231" si="55">F204*(D204-J204-K204)/G204</f>
        <v>0</v>
      </c>
      <c r="N204" s="46">
        <f t="shared" ref="N204:N231" si="56">J204+L204</f>
        <v>96.69</v>
      </c>
      <c r="O204" s="46">
        <f t="shared" ref="O204:O231" si="57">K204+M204</f>
        <v>0</v>
      </c>
      <c r="P204" s="20">
        <f t="shared" ref="P204:P231" si="58">D204-(N204+O204)</f>
        <v>0</v>
      </c>
    </row>
    <row r="205" spans="1:16" x14ac:dyDescent="0.25">
      <c r="A205" s="39" t="s">
        <v>213</v>
      </c>
      <c r="B205" s="49"/>
      <c r="C205" s="44"/>
      <c r="D205" s="55">
        <v>87.271999999999991</v>
      </c>
      <c r="E205" s="20">
        <v>3919.16</v>
      </c>
      <c r="F205" s="20">
        <v>0</v>
      </c>
      <c r="G205" s="20">
        <f t="shared" si="51"/>
        <v>3919.16</v>
      </c>
      <c r="H205" s="20">
        <v>797.1</v>
      </c>
      <c r="I205" s="20">
        <v>0</v>
      </c>
      <c r="J205" s="46">
        <f t="shared" si="52"/>
        <v>72.522068656096124</v>
      </c>
      <c r="K205" s="58">
        <f t="shared" si="53"/>
        <v>0</v>
      </c>
      <c r="L205" s="46">
        <f t="shared" si="54"/>
        <v>14.749931343903867</v>
      </c>
      <c r="M205" s="46">
        <f t="shared" si="55"/>
        <v>0</v>
      </c>
      <c r="N205" s="46">
        <f t="shared" si="56"/>
        <v>87.271999999999991</v>
      </c>
      <c r="O205" s="46">
        <f t="shared" si="57"/>
        <v>0</v>
      </c>
      <c r="P205" s="20">
        <f t="shared" si="58"/>
        <v>0</v>
      </c>
    </row>
    <row r="206" spans="1:16" x14ac:dyDescent="0.25">
      <c r="A206" s="39" t="s">
        <v>214</v>
      </c>
      <c r="B206" s="49"/>
      <c r="C206" s="44"/>
      <c r="D206" s="55">
        <v>77.793000000000021</v>
      </c>
      <c r="E206" s="20">
        <v>3434.53</v>
      </c>
      <c r="F206" s="20">
        <v>0</v>
      </c>
      <c r="G206" s="20">
        <f t="shared" si="51"/>
        <v>3434.53</v>
      </c>
      <c r="H206" s="20">
        <v>366.4</v>
      </c>
      <c r="I206" s="20">
        <v>0</v>
      </c>
      <c r="J206" s="46">
        <f t="shared" si="52"/>
        <v>70.293952345873265</v>
      </c>
      <c r="K206" s="58">
        <f t="shared" si="53"/>
        <v>0</v>
      </c>
      <c r="L206" s="46">
        <f t="shared" si="54"/>
        <v>7.4990476541267554</v>
      </c>
      <c r="M206" s="46">
        <f t="shared" si="55"/>
        <v>0</v>
      </c>
      <c r="N206" s="46">
        <f t="shared" si="56"/>
        <v>77.793000000000021</v>
      </c>
      <c r="O206" s="46">
        <f t="shared" si="57"/>
        <v>0</v>
      </c>
      <c r="P206" s="20">
        <f t="shared" si="58"/>
        <v>0</v>
      </c>
    </row>
    <row r="207" spans="1:16" x14ac:dyDescent="0.25">
      <c r="A207" s="39" t="s">
        <v>112</v>
      </c>
      <c r="B207" s="79">
        <f>210.38-(19.42*0.06)</f>
        <v>209.2148</v>
      </c>
      <c r="C207" s="44">
        <v>11816.81</v>
      </c>
      <c r="D207" s="55">
        <f>B207*C207/(C207+C208)</f>
        <v>204.4397903206947</v>
      </c>
      <c r="E207" s="20">
        <v>8040.21</v>
      </c>
      <c r="F207" s="20">
        <v>1957.6</v>
      </c>
      <c r="G207" s="20">
        <f t="shared" si="51"/>
        <v>9997.81</v>
      </c>
      <c r="H207" s="20">
        <v>1819</v>
      </c>
      <c r="I207" s="20">
        <v>0</v>
      </c>
      <c r="J207" s="46">
        <f t="shared" si="52"/>
        <v>139.10174120886708</v>
      </c>
      <c r="K207" s="58">
        <f>F207*(D207/(G207-I207+H207))</f>
        <v>33.867967203652412</v>
      </c>
      <c r="L207" s="46">
        <f t="shared" si="54"/>
        <v>25.308149210570051</v>
      </c>
      <c r="M207" s="46">
        <f t="shared" si="55"/>
        <v>6.1619326976051534</v>
      </c>
      <c r="N207" s="46">
        <f t="shared" si="56"/>
        <v>164.40989041943715</v>
      </c>
      <c r="O207" s="46">
        <f t="shared" si="57"/>
        <v>40.029899901257565</v>
      </c>
      <c r="P207" s="20">
        <f t="shared" si="58"/>
        <v>0</v>
      </c>
    </row>
    <row r="208" spans="1:16" x14ac:dyDescent="0.25">
      <c r="A208" s="39" t="s">
        <v>69</v>
      </c>
      <c r="B208" s="80"/>
      <c r="C208" s="44">
        <v>276</v>
      </c>
      <c r="D208" s="55">
        <f>B207*C208/(C207+C208)</f>
        <v>4.775009679305307</v>
      </c>
      <c r="E208" s="20">
        <v>223</v>
      </c>
      <c r="F208" s="20">
        <v>0</v>
      </c>
      <c r="G208" s="20">
        <f t="shared" si="51"/>
        <v>223</v>
      </c>
      <c r="H208" s="20">
        <v>53</v>
      </c>
      <c r="I208" s="20">
        <v>0</v>
      </c>
      <c r="J208" s="46">
        <f t="shared" si="52"/>
        <v>3.8580694148010268</v>
      </c>
      <c r="K208" s="58">
        <f t="shared" si="53"/>
        <v>0</v>
      </c>
      <c r="L208" s="46">
        <f t="shared" si="54"/>
        <v>0.91694026450428012</v>
      </c>
      <c r="M208" s="46">
        <f t="shared" si="55"/>
        <v>0</v>
      </c>
      <c r="N208" s="46">
        <f t="shared" si="56"/>
        <v>4.775009679305307</v>
      </c>
      <c r="O208" s="46">
        <f t="shared" si="57"/>
        <v>0</v>
      </c>
      <c r="P208" s="20">
        <f t="shared" si="58"/>
        <v>0</v>
      </c>
    </row>
    <row r="209" spans="1:16" x14ac:dyDescent="0.25">
      <c r="A209" s="39" t="s">
        <v>215</v>
      </c>
      <c r="B209" s="49"/>
      <c r="C209" s="44"/>
      <c r="D209" s="55">
        <v>127.202</v>
      </c>
      <c r="E209" s="20">
        <v>5135.82</v>
      </c>
      <c r="F209" s="20">
        <v>678.9</v>
      </c>
      <c r="G209" s="20">
        <f t="shared" si="51"/>
        <v>5814.7199999999993</v>
      </c>
      <c r="H209" s="20">
        <v>571.4</v>
      </c>
      <c r="I209" s="20">
        <v>0</v>
      </c>
      <c r="J209" s="46">
        <f t="shared" si="52"/>
        <v>102.29788598397776</v>
      </c>
      <c r="K209" s="58">
        <f t="shared" si="53"/>
        <v>13.522676961911147</v>
      </c>
      <c r="L209" s="46">
        <f t="shared" si="54"/>
        <v>10.052592738987398</v>
      </c>
      <c r="M209" s="46">
        <f t="shared" si="55"/>
        <v>1.3288443151236893</v>
      </c>
      <c r="N209" s="46">
        <f t="shared" si="56"/>
        <v>112.35047872296516</v>
      </c>
      <c r="O209" s="46">
        <f t="shared" si="57"/>
        <v>14.851521277034836</v>
      </c>
      <c r="P209" s="20">
        <f t="shared" si="58"/>
        <v>0</v>
      </c>
    </row>
    <row r="210" spans="1:16" x14ac:dyDescent="0.25">
      <c r="A210" s="39" t="s">
        <v>250</v>
      </c>
      <c r="B210" s="53"/>
      <c r="C210" s="44"/>
      <c r="D210" s="55">
        <v>98.323999999999998</v>
      </c>
      <c r="E210" s="20">
        <f>2335.38+1487.45</f>
        <v>3822.83</v>
      </c>
      <c r="F210" s="20">
        <f>421.68+274.46</f>
        <v>696.14</v>
      </c>
      <c r="G210" s="20">
        <f t="shared" si="51"/>
        <v>4518.97</v>
      </c>
      <c r="H210" s="20">
        <f>343.63+218.87</f>
        <v>562.5</v>
      </c>
      <c r="I210" s="20">
        <v>0</v>
      </c>
      <c r="J210" s="46">
        <f t="shared" si="52"/>
        <v>73.969921483350291</v>
      </c>
      <c r="K210" s="58">
        <f t="shared" si="53"/>
        <v>13.469974113789908</v>
      </c>
      <c r="L210" s="46">
        <f t="shared" si="54"/>
        <v>9.2074257705593361</v>
      </c>
      <c r="M210" s="46">
        <f t="shared" si="55"/>
        <v>1.6766786323004623</v>
      </c>
      <c r="N210" s="46">
        <f t="shared" si="56"/>
        <v>83.17734725390963</v>
      </c>
      <c r="O210" s="46">
        <f t="shared" si="57"/>
        <v>15.146652746090369</v>
      </c>
      <c r="P210" s="20">
        <f t="shared" si="58"/>
        <v>0</v>
      </c>
    </row>
    <row r="211" spans="1:16" x14ac:dyDescent="0.25">
      <c r="A211" s="39" t="s">
        <v>51</v>
      </c>
      <c r="B211" s="79">
        <v>73.88</v>
      </c>
      <c r="C211" s="44">
        <v>2596.2800000000002</v>
      </c>
      <c r="D211" s="55">
        <f>B211*C211/(C211+C212)</f>
        <v>53.597661312856971</v>
      </c>
      <c r="E211" s="20">
        <v>2024.98</v>
      </c>
      <c r="F211" s="20">
        <v>305.39999999999998</v>
      </c>
      <c r="G211" s="20">
        <f t="shared" si="51"/>
        <v>2330.38</v>
      </c>
      <c r="H211" s="20">
        <v>265.89999999999998</v>
      </c>
      <c r="I211" s="20">
        <v>0</v>
      </c>
      <c r="J211" s="46">
        <f t="shared" si="52"/>
        <v>41.803731571829346</v>
      </c>
      <c r="K211" s="58">
        <f t="shared" si="53"/>
        <v>6.3046843040606237</v>
      </c>
      <c r="L211" s="46">
        <f t="shared" si="54"/>
        <v>4.7698711046908393</v>
      </c>
      <c r="M211" s="46">
        <f t="shared" si="55"/>
        <v>0.71937433227616188</v>
      </c>
      <c r="N211" s="46">
        <f t="shared" si="56"/>
        <v>46.573602676520181</v>
      </c>
      <c r="O211" s="46">
        <f t="shared" si="57"/>
        <v>7.0240586363367861</v>
      </c>
      <c r="P211" s="20">
        <f t="shared" si="58"/>
        <v>0</v>
      </c>
    </row>
    <row r="212" spans="1:16" x14ac:dyDescent="0.25">
      <c r="A212" s="39" t="s">
        <v>113</v>
      </c>
      <c r="B212" s="80"/>
      <c r="C212" s="44">
        <v>982.48</v>
      </c>
      <c r="D212" s="55">
        <f>B211*C212/(C211+C212)</f>
        <v>20.282338687143028</v>
      </c>
      <c r="E212" s="20">
        <v>870.18</v>
      </c>
      <c r="F212" s="20">
        <v>0</v>
      </c>
      <c r="G212" s="20">
        <f t="shared" si="51"/>
        <v>870.18</v>
      </c>
      <c r="H212" s="20">
        <v>112.3</v>
      </c>
      <c r="I212" s="20">
        <v>0</v>
      </c>
      <c r="J212" s="46">
        <f t="shared" si="52"/>
        <v>17.964015021962911</v>
      </c>
      <c r="K212" s="58">
        <f t="shared" si="53"/>
        <v>0</v>
      </c>
      <c r="L212" s="46">
        <f t="shared" si="54"/>
        <v>2.3183236651801167</v>
      </c>
      <c r="M212" s="46">
        <f t="shared" si="55"/>
        <v>0</v>
      </c>
      <c r="N212" s="46">
        <f t="shared" si="56"/>
        <v>20.282338687143028</v>
      </c>
      <c r="O212" s="46">
        <f t="shared" si="57"/>
        <v>0</v>
      </c>
      <c r="P212" s="20">
        <f t="shared" si="58"/>
        <v>0</v>
      </c>
    </row>
    <row r="213" spans="1:16" x14ac:dyDescent="0.25">
      <c r="A213" s="39" t="s">
        <v>52</v>
      </c>
      <c r="B213" s="49"/>
      <c r="C213" s="44"/>
      <c r="D213" s="55">
        <v>329.6</v>
      </c>
      <c r="E213" s="20">
        <v>13683.21</v>
      </c>
      <c r="F213" s="20">
        <v>2681.4</v>
      </c>
      <c r="G213" s="20">
        <f t="shared" si="51"/>
        <v>16364.609999999999</v>
      </c>
      <c r="H213" s="20">
        <v>2589.1</v>
      </c>
      <c r="I213" s="20">
        <v>0</v>
      </c>
      <c r="J213" s="46">
        <f t="shared" si="52"/>
        <v>237.94740006046311</v>
      </c>
      <c r="K213" s="58">
        <f t="shared" si="53"/>
        <v>46.628836254221476</v>
      </c>
      <c r="L213" s="46">
        <f t="shared" si="54"/>
        <v>37.646458638277664</v>
      </c>
      <c r="M213" s="46">
        <f t="shared" si="55"/>
        <v>7.3773050470377735</v>
      </c>
      <c r="N213" s="46">
        <f t="shared" si="56"/>
        <v>275.59385869874075</v>
      </c>
      <c r="O213" s="46">
        <f t="shared" si="57"/>
        <v>54.006141301259248</v>
      </c>
      <c r="P213" s="20">
        <f t="shared" si="58"/>
        <v>0</v>
      </c>
    </row>
    <row r="214" spans="1:16" x14ac:dyDescent="0.25">
      <c r="A214" s="39" t="s">
        <v>216</v>
      </c>
      <c r="B214" s="49"/>
      <c r="C214" s="44"/>
      <c r="D214" s="55">
        <v>42.677000000000007</v>
      </c>
      <c r="E214" s="20">
        <v>2496.5100000000002</v>
      </c>
      <c r="F214" s="20">
        <v>494.5</v>
      </c>
      <c r="G214" s="20">
        <f t="shared" si="51"/>
        <v>2991.01</v>
      </c>
      <c r="H214" s="20">
        <v>360.9</v>
      </c>
      <c r="I214" s="20">
        <v>0</v>
      </c>
      <c r="J214" s="46">
        <f t="shared" si="52"/>
        <v>31.785924225292451</v>
      </c>
      <c r="K214" s="58">
        <f t="shared" si="53"/>
        <v>6.2960450907094767</v>
      </c>
      <c r="L214" s="46">
        <f t="shared" si="54"/>
        <v>3.8353399195950679</v>
      </c>
      <c r="M214" s="46">
        <f t="shared" si="55"/>
        <v>0.75969076440301098</v>
      </c>
      <c r="N214" s="46">
        <f t="shared" si="56"/>
        <v>35.621264144887519</v>
      </c>
      <c r="O214" s="46">
        <f t="shared" si="57"/>
        <v>7.0557358551124878</v>
      </c>
      <c r="P214" s="20">
        <f t="shared" si="58"/>
        <v>0</v>
      </c>
    </row>
    <row r="215" spans="1:16" ht="15.75" x14ac:dyDescent="0.25">
      <c r="A215" s="63" t="s">
        <v>257</v>
      </c>
      <c r="B215" s="49"/>
      <c r="C215" s="44"/>
      <c r="D215" s="55">
        <v>51.196149070737206</v>
      </c>
      <c r="E215" s="20">
        <v>1769.3</v>
      </c>
      <c r="F215" s="20">
        <v>467.9</v>
      </c>
      <c r="G215" s="20">
        <f t="shared" si="51"/>
        <v>2237.1999999999998</v>
      </c>
      <c r="H215" s="20">
        <v>280.3</v>
      </c>
      <c r="I215" s="20">
        <v>1</v>
      </c>
      <c r="J215" s="46">
        <f t="shared" ref="J215:J216" si="59">E215*(D215/(G215-I215+H215))</f>
        <v>35.994971806419763</v>
      </c>
      <c r="K215" s="58">
        <f t="shared" ref="K215:K216" si="60">F215*(D215/(G215-I215+H215))</f>
        <v>9.5190455593872194</v>
      </c>
      <c r="L215" s="46">
        <f t="shared" ref="L215:L216" si="61">E215*(D215-J215-K215)/G215</f>
        <v>4.4937402223909562</v>
      </c>
      <c r="M215" s="46">
        <f t="shared" ref="M215:M216" si="62">F215*(D215-J215-K215)/G215</f>
        <v>1.1883914825392687</v>
      </c>
      <c r="N215" s="46">
        <f t="shared" ref="N215:N216" si="63">J215+L215</f>
        <v>40.488712028810717</v>
      </c>
      <c r="O215" s="46">
        <f t="shared" ref="O215:O216" si="64">K215+M215</f>
        <v>10.707437041926488</v>
      </c>
      <c r="P215" s="20">
        <f t="shared" ref="P215:P216" si="65">D215-(N215+O215)</f>
        <v>0</v>
      </c>
    </row>
    <row r="216" spans="1:16" ht="15.75" x14ac:dyDescent="0.25">
      <c r="A216" s="63" t="s">
        <v>258</v>
      </c>
      <c r="B216" s="49"/>
      <c r="C216" s="44"/>
      <c r="D216" s="55">
        <v>69.732253048314476</v>
      </c>
      <c r="E216" s="20">
        <v>2371.5300000000002</v>
      </c>
      <c r="F216" s="20">
        <v>144.02000000000001</v>
      </c>
      <c r="G216" s="20">
        <f t="shared" si="51"/>
        <v>2515.5500000000002</v>
      </c>
      <c r="H216" s="20">
        <v>3001.2</v>
      </c>
      <c r="I216" s="20">
        <v>2</v>
      </c>
      <c r="J216" s="46">
        <f t="shared" si="59"/>
        <v>29.987239688411847</v>
      </c>
      <c r="K216" s="58">
        <f t="shared" si="60"/>
        <v>1.8210869185399612</v>
      </c>
      <c r="L216" s="46">
        <f t="shared" si="61"/>
        <v>35.752709854101411</v>
      </c>
      <c r="M216" s="46">
        <f t="shared" si="62"/>
        <v>2.1712165872612554</v>
      </c>
      <c r="N216" s="46">
        <f t="shared" si="63"/>
        <v>65.739949542513259</v>
      </c>
      <c r="O216" s="46">
        <f t="shared" si="64"/>
        <v>3.9923035058012166</v>
      </c>
      <c r="P216" s="20">
        <f t="shared" si="65"/>
        <v>0</v>
      </c>
    </row>
    <row r="217" spans="1:16" x14ac:dyDescent="0.25">
      <c r="A217" s="39" t="s">
        <v>217</v>
      </c>
      <c r="B217" s="49"/>
      <c r="C217" s="44"/>
      <c r="D217" s="55">
        <v>71.953000000000003</v>
      </c>
      <c r="E217" s="20">
        <v>2543.38</v>
      </c>
      <c r="F217" s="20">
        <v>0</v>
      </c>
      <c r="G217" s="20">
        <f t="shared" si="51"/>
        <v>2543.38</v>
      </c>
      <c r="H217" s="20">
        <v>304.89</v>
      </c>
      <c r="I217" s="20">
        <v>0</v>
      </c>
      <c r="J217" s="46">
        <f t="shared" si="52"/>
        <v>64.25086847103681</v>
      </c>
      <c r="K217" s="58">
        <f t="shared" si="53"/>
        <v>0</v>
      </c>
      <c r="L217" s="46">
        <f t="shared" si="54"/>
        <v>7.702131528963192</v>
      </c>
      <c r="M217" s="46">
        <f t="shared" si="55"/>
        <v>0</v>
      </c>
      <c r="N217" s="46">
        <f t="shared" si="56"/>
        <v>71.953000000000003</v>
      </c>
      <c r="O217" s="46">
        <f t="shared" si="57"/>
        <v>0</v>
      </c>
      <c r="P217" s="20">
        <f t="shared" si="58"/>
        <v>0</v>
      </c>
    </row>
    <row r="218" spans="1:16" x14ac:dyDescent="0.25">
      <c r="A218" s="39" t="s">
        <v>53</v>
      </c>
      <c r="B218" s="49"/>
      <c r="C218" s="44"/>
      <c r="D218" s="55">
        <v>115.12620000000001</v>
      </c>
      <c r="E218" s="20">
        <v>5258.49</v>
      </c>
      <c r="F218" s="20">
        <v>220.5</v>
      </c>
      <c r="G218" s="20">
        <f t="shared" si="51"/>
        <v>5478.99</v>
      </c>
      <c r="H218" s="20">
        <v>895.2</v>
      </c>
      <c r="I218" s="20">
        <v>0</v>
      </c>
      <c r="J218" s="46">
        <f t="shared" si="52"/>
        <v>94.975200211791631</v>
      </c>
      <c r="K218" s="58">
        <f t="shared" si="53"/>
        <v>3.9825181081831582</v>
      </c>
      <c r="L218" s="46">
        <f t="shared" si="54"/>
        <v>15.517786896781312</v>
      </c>
      <c r="M218" s="46">
        <f t="shared" si="55"/>
        <v>0.65069478324391206</v>
      </c>
      <c r="N218" s="46">
        <f t="shared" si="56"/>
        <v>110.49298710857295</v>
      </c>
      <c r="O218" s="46">
        <f t="shared" si="57"/>
        <v>4.6332128914270703</v>
      </c>
      <c r="P218" s="20">
        <f t="shared" si="58"/>
        <v>0</v>
      </c>
    </row>
    <row r="219" spans="1:16" x14ac:dyDescent="0.25">
      <c r="A219" s="39" t="s">
        <v>218</v>
      </c>
      <c r="B219" s="49"/>
      <c r="C219" s="44"/>
      <c r="D219" s="55">
        <v>103.49800000000003</v>
      </c>
      <c r="E219" s="20">
        <v>3337.86</v>
      </c>
      <c r="F219" s="20">
        <v>561.20000000000005</v>
      </c>
      <c r="G219" s="20">
        <f t="shared" si="51"/>
        <v>3899.0600000000004</v>
      </c>
      <c r="H219" s="20">
        <v>591</v>
      </c>
      <c r="I219" s="20">
        <v>0</v>
      </c>
      <c r="J219" s="46">
        <f t="shared" si="52"/>
        <v>76.939246753940949</v>
      </c>
      <c r="K219" s="58">
        <f t="shared" si="53"/>
        <v>12.935924597889564</v>
      </c>
      <c r="L219" s="46">
        <f t="shared" si="54"/>
        <v>11.662065941939625</v>
      </c>
      <c r="M219" s="46">
        <f t="shared" si="55"/>
        <v>1.9607627062298949</v>
      </c>
      <c r="N219" s="46">
        <f t="shared" si="56"/>
        <v>88.60131269588058</v>
      </c>
      <c r="O219" s="46">
        <f t="shared" si="57"/>
        <v>14.896687304119459</v>
      </c>
      <c r="P219" s="20">
        <f t="shared" si="58"/>
        <v>0</v>
      </c>
    </row>
    <row r="220" spans="1:16" x14ac:dyDescent="0.25">
      <c r="A220" s="39" t="s">
        <v>219</v>
      </c>
      <c r="B220" s="49"/>
      <c r="C220" s="44"/>
      <c r="D220" s="55">
        <v>96.073999999999998</v>
      </c>
      <c r="E220" s="20">
        <v>4202.57</v>
      </c>
      <c r="F220" s="20">
        <v>0</v>
      </c>
      <c r="G220" s="20">
        <f t="shared" si="51"/>
        <v>4202.57</v>
      </c>
      <c r="H220" s="20">
        <v>482.7</v>
      </c>
      <c r="I220" s="20">
        <v>0</v>
      </c>
      <c r="J220" s="46">
        <f t="shared" si="52"/>
        <v>86.175974955552192</v>
      </c>
      <c r="K220" s="58">
        <f t="shared" si="53"/>
        <v>0</v>
      </c>
      <c r="L220" s="46">
        <f t="shared" si="54"/>
        <v>9.898025044447806</v>
      </c>
      <c r="M220" s="46">
        <f t="shared" si="55"/>
        <v>0</v>
      </c>
      <c r="N220" s="46">
        <f t="shared" si="56"/>
        <v>96.073999999999998</v>
      </c>
      <c r="O220" s="46">
        <f t="shared" si="57"/>
        <v>0</v>
      </c>
      <c r="P220" s="20">
        <f t="shared" si="58"/>
        <v>0</v>
      </c>
    </row>
    <row r="221" spans="1:16" x14ac:dyDescent="0.25">
      <c r="A221" s="39" t="s">
        <v>89</v>
      </c>
      <c r="B221" s="79">
        <v>236.27</v>
      </c>
      <c r="C221" s="44">
        <v>6402.06</v>
      </c>
      <c r="D221" s="55">
        <f>B221*C221/(C221+C222)</f>
        <v>124.90233305643588</v>
      </c>
      <c r="E221" s="20">
        <v>1401.06</v>
      </c>
      <c r="F221" s="20">
        <v>4519.3</v>
      </c>
      <c r="G221" s="20">
        <f t="shared" si="51"/>
        <v>5920.3600000000006</v>
      </c>
      <c r="H221" s="20">
        <v>481.7</v>
      </c>
      <c r="I221" s="20">
        <v>0</v>
      </c>
      <c r="J221" s="46">
        <f t="shared" si="52"/>
        <v>27.334274085536535</v>
      </c>
      <c r="K221" s="58">
        <f t="shared" si="53"/>
        <v>88.170231735090056</v>
      </c>
      <c r="L221" s="46">
        <f t="shared" si="54"/>
        <v>2.2240066190236676</v>
      </c>
      <c r="M221" s="46">
        <f t="shared" si="55"/>
        <v>7.17382061678562</v>
      </c>
      <c r="N221" s="46">
        <f t="shared" si="56"/>
        <v>29.558280704560204</v>
      </c>
      <c r="O221" s="46">
        <f t="shared" si="57"/>
        <v>95.344052351875675</v>
      </c>
      <c r="P221" s="20">
        <f t="shared" si="58"/>
        <v>0</v>
      </c>
    </row>
    <row r="222" spans="1:16" x14ac:dyDescent="0.25">
      <c r="A222" s="39" t="s">
        <v>116</v>
      </c>
      <c r="B222" s="80"/>
      <c r="C222" s="44">
        <v>5708.32</v>
      </c>
      <c r="D222" s="55">
        <f>B221*C222/(C221+C222)</f>
        <v>111.36766694356412</v>
      </c>
      <c r="E222" s="20">
        <v>4411</v>
      </c>
      <c r="F222" s="20">
        <v>631.6</v>
      </c>
      <c r="G222" s="20">
        <f t="shared" si="51"/>
        <v>5042.6000000000004</v>
      </c>
      <c r="H222" s="20">
        <v>665.72</v>
      </c>
      <c r="I222" s="20">
        <v>0</v>
      </c>
      <c r="J222" s="46">
        <f t="shared" si="52"/>
        <v>86.057330158095766</v>
      </c>
      <c r="K222" s="58">
        <f t="shared" si="53"/>
        <v>12.322332742655473</v>
      </c>
      <c r="L222" s="46">
        <f t="shared" si="54"/>
        <v>11.361219575783842</v>
      </c>
      <c r="M222" s="46">
        <f t="shared" si="55"/>
        <v>1.6267844670290355</v>
      </c>
      <c r="N222" s="46">
        <f t="shared" si="56"/>
        <v>97.418549733879615</v>
      </c>
      <c r="O222" s="46">
        <f t="shared" si="57"/>
        <v>13.949117209684507</v>
      </c>
      <c r="P222" s="20">
        <f t="shared" si="58"/>
        <v>0</v>
      </c>
    </row>
    <row r="223" spans="1:16" x14ac:dyDescent="0.25">
      <c r="A223" s="39" t="s">
        <v>220</v>
      </c>
      <c r="B223" s="49"/>
      <c r="C223" s="44"/>
      <c r="D223" s="55">
        <v>132.83000000000001</v>
      </c>
      <c r="E223" s="20">
        <v>4520.25</v>
      </c>
      <c r="F223" s="20">
        <v>395</v>
      </c>
      <c r="G223" s="20">
        <f t="shared" si="51"/>
        <v>4915.25</v>
      </c>
      <c r="H223" s="20">
        <v>617.70000000000005</v>
      </c>
      <c r="I223" s="20">
        <v>0</v>
      </c>
      <c r="J223" s="46">
        <f t="shared" si="52"/>
        <v>108.5180251945165</v>
      </c>
      <c r="K223" s="58">
        <f t="shared" si="53"/>
        <v>9.4827985071254943</v>
      </c>
      <c r="L223" s="46">
        <f t="shared" si="54"/>
        <v>13.637471982636253</v>
      </c>
      <c r="M223" s="46">
        <f t="shared" si="55"/>
        <v>1.1917043157217677</v>
      </c>
      <c r="N223" s="46">
        <f t="shared" si="56"/>
        <v>122.15549717715275</v>
      </c>
      <c r="O223" s="46">
        <f t="shared" si="57"/>
        <v>10.674502822847263</v>
      </c>
      <c r="P223" s="20">
        <f t="shared" si="58"/>
        <v>0</v>
      </c>
    </row>
    <row r="224" spans="1:16" x14ac:dyDescent="0.25">
      <c r="A224" s="39" t="s">
        <v>221</v>
      </c>
      <c r="B224" s="49"/>
      <c r="C224" s="44"/>
      <c r="D224" s="55">
        <v>76.185455000000005</v>
      </c>
      <c r="E224" s="20">
        <v>2746.96</v>
      </c>
      <c r="F224" s="20">
        <v>707.46</v>
      </c>
      <c r="G224" s="20">
        <f t="shared" si="51"/>
        <v>3454.42</v>
      </c>
      <c r="H224" s="20">
        <v>315.10000000000002</v>
      </c>
      <c r="I224" s="20">
        <v>0</v>
      </c>
      <c r="J224" s="46">
        <f t="shared" si="52"/>
        <v>55.518579943016618</v>
      </c>
      <c r="K224" s="58">
        <f t="shared" si="53"/>
        <v>14.298415181322822</v>
      </c>
      <c r="L224" s="46">
        <f t="shared" si="54"/>
        <v>5.0642089091785429</v>
      </c>
      <c r="M224" s="46">
        <f t="shared" si="55"/>
        <v>1.304250966482021</v>
      </c>
      <c r="N224" s="46">
        <f t="shared" si="56"/>
        <v>60.582788852195165</v>
      </c>
      <c r="O224" s="46">
        <f t="shared" si="57"/>
        <v>15.602666147804843</v>
      </c>
      <c r="P224" s="20">
        <f t="shared" si="58"/>
        <v>0</v>
      </c>
    </row>
    <row r="225" spans="1:16" x14ac:dyDescent="0.25">
      <c r="A225" s="39" t="s">
        <v>222</v>
      </c>
      <c r="B225" s="49"/>
      <c r="C225" s="44"/>
      <c r="D225" s="55">
        <v>83.745430999999982</v>
      </c>
      <c r="E225" s="20">
        <v>2784.88</v>
      </c>
      <c r="F225" s="20">
        <v>703.8</v>
      </c>
      <c r="G225" s="20">
        <f t="shared" si="51"/>
        <v>3488.6800000000003</v>
      </c>
      <c r="H225" s="20">
        <v>337</v>
      </c>
      <c r="I225" s="20">
        <v>0</v>
      </c>
      <c r="J225" s="46">
        <f t="shared" si="52"/>
        <v>60.961966469563571</v>
      </c>
      <c r="K225" s="58">
        <f t="shared" si="53"/>
        <v>15.406420384820471</v>
      </c>
      <c r="L225" s="46">
        <f t="shared" si="54"/>
        <v>5.8888125882118505</v>
      </c>
      <c r="M225" s="46">
        <f t="shared" si="55"/>
        <v>1.4882315574040892</v>
      </c>
      <c r="N225" s="46">
        <f t="shared" si="56"/>
        <v>66.850779057775426</v>
      </c>
      <c r="O225" s="46">
        <f t="shared" si="57"/>
        <v>16.894651942224559</v>
      </c>
      <c r="P225" s="20">
        <f t="shared" si="58"/>
        <v>0</v>
      </c>
    </row>
    <row r="226" spans="1:16" x14ac:dyDescent="0.25">
      <c r="A226" s="39" t="s">
        <v>223</v>
      </c>
      <c r="B226" s="49"/>
      <c r="C226" s="44"/>
      <c r="D226" s="55">
        <v>69.216718000000014</v>
      </c>
      <c r="E226" s="20">
        <v>2569.64</v>
      </c>
      <c r="F226" s="20">
        <v>0</v>
      </c>
      <c r="G226" s="20">
        <f t="shared" si="51"/>
        <v>2569.64</v>
      </c>
      <c r="H226" s="20">
        <v>297.5</v>
      </c>
      <c r="I226" s="20">
        <v>0</v>
      </c>
      <c r="J226" s="46">
        <f t="shared" si="52"/>
        <v>62.03465726874866</v>
      </c>
      <c r="K226" s="58">
        <f t="shared" si="53"/>
        <v>0</v>
      </c>
      <c r="L226" s="46">
        <f t="shared" si="54"/>
        <v>7.1820607312513545</v>
      </c>
      <c r="M226" s="46">
        <f t="shared" si="55"/>
        <v>0</v>
      </c>
      <c r="N226" s="46">
        <f t="shared" si="56"/>
        <v>69.216718000000014</v>
      </c>
      <c r="O226" s="46">
        <f t="shared" si="57"/>
        <v>0</v>
      </c>
      <c r="P226" s="20">
        <f t="shared" si="58"/>
        <v>0</v>
      </c>
    </row>
    <row r="227" spans="1:16" x14ac:dyDescent="0.25">
      <c r="A227" s="39" t="s">
        <v>114</v>
      </c>
      <c r="B227" s="79">
        <v>138.97999999999999</v>
      </c>
      <c r="C227" s="44">
        <v>2875.12</v>
      </c>
      <c r="D227" s="55">
        <f>B227*C227/(C227+C228)</f>
        <v>69.422753287547707</v>
      </c>
      <c r="E227" s="20">
        <v>2401.12</v>
      </c>
      <c r="F227" s="20">
        <v>147.69999999999999</v>
      </c>
      <c r="G227" s="20">
        <f t="shared" si="51"/>
        <v>2548.8199999999997</v>
      </c>
      <c r="H227" s="20">
        <v>326.3</v>
      </c>
      <c r="I227" s="20">
        <v>0</v>
      </c>
      <c r="J227" s="46">
        <f t="shared" si="52"/>
        <v>57.977531850425912</v>
      </c>
      <c r="K227" s="58">
        <f t="shared" si="53"/>
        <v>3.5663696334660102</v>
      </c>
      <c r="L227" s="46">
        <f t="shared" si="54"/>
        <v>7.4222850741888315</v>
      </c>
      <c r="M227" s="46">
        <f t="shared" si="55"/>
        <v>0.45656672946695309</v>
      </c>
      <c r="N227" s="46">
        <f t="shared" si="56"/>
        <v>65.39981692461474</v>
      </c>
      <c r="O227" s="46">
        <f t="shared" si="57"/>
        <v>4.0229363629329633</v>
      </c>
      <c r="P227" s="20">
        <f t="shared" si="58"/>
        <v>0</v>
      </c>
    </row>
    <row r="228" spans="1:16" x14ac:dyDescent="0.25">
      <c r="A228" s="39" t="s">
        <v>115</v>
      </c>
      <c r="B228" s="80"/>
      <c r="C228" s="44">
        <v>2880.69</v>
      </c>
      <c r="D228" s="55">
        <f>B227*C228/(C227+C228)</f>
        <v>69.557246712452297</v>
      </c>
      <c r="E228" s="20">
        <v>2555.4899999999998</v>
      </c>
      <c r="F228" s="20">
        <v>0</v>
      </c>
      <c r="G228" s="20">
        <f t="shared" si="51"/>
        <v>2555.4899999999998</v>
      </c>
      <c r="H228" s="20">
        <v>325.2</v>
      </c>
      <c r="I228" s="20">
        <v>0</v>
      </c>
      <c r="J228" s="46">
        <f t="shared" si="52"/>
        <v>61.704955549262408</v>
      </c>
      <c r="K228" s="58">
        <f t="shared" si="53"/>
        <v>0</v>
      </c>
      <c r="L228" s="46">
        <f t="shared" si="54"/>
        <v>7.8522911631898893</v>
      </c>
      <c r="M228" s="46">
        <f t="shared" si="55"/>
        <v>0</v>
      </c>
      <c r="N228" s="46">
        <f t="shared" si="56"/>
        <v>69.557246712452297</v>
      </c>
      <c r="O228" s="46">
        <f t="shared" si="57"/>
        <v>0</v>
      </c>
      <c r="P228" s="20">
        <f t="shared" si="58"/>
        <v>0</v>
      </c>
    </row>
    <row r="229" spans="1:16" ht="15.75" x14ac:dyDescent="0.25">
      <c r="A229" s="63" t="s">
        <v>259</v>
      </c>
      <c r="B229" s="62"/>
      <c r="C229" s="44"/>
      <c r="D229" s="55">
        <v>49.207914782445862</v>
      </c>
      <c r="E229" s="20">
        <v>1601.8</v>
      </c>
      <c r="F229" s="20">
        <v>0</v>
      </c>
      <c r="G229" s="20">
        <f t="shared" si="51"/>
        <v>1601.8</v>
      </c>
      <c r="H229" s="20">
        <v>247.6</v>
      </c>
      <c r="I229" s="20">
        <v>0</v>
      </c>
      <c r="J229" s="46">
        <f t="shared" ref="J229" si="66">E229*(D229/(G229-I229+H229))</f>
        <v>42.619897209106618</v>
      </c>
      <c r="K229" s="58">
        <f t="shared" ref="K229" si="67">F229*(D229/(G229-I229+H229))</f>
        <v>0</v>
      </c>
      <c r="L229" s="46">
        <f t="shared" ref="L229" si="68">E229*(D229-J229-K229)/G229</f>
        <v>6.5880175733392434</v>
      </c>
      <c r="M229" s="46">
        <f t="shared" ref="M229" si="69">F229*(D229-J229-K229)/G229</f>
        <v>0</v>
      </c>
      <c r="N229" s="46">
        <f t="shared" ref="N229" si="70">J229+L229</f>
        <v>49.207914782445862</v>
      </c>
      <c r="O229" s="46">
        <f t="shared" ref="O229" si="71">K229+M229</f>
        <v>0</v>
      </c>
      <c r="P229" s="20">
        <f t="shared" ref="P229" si="72">D229-(N229+O229)</f>
        <v>0</v>
      </c>
    </row>
    <row r="230" spans="1:16" x14ac:dyDescent="0.25">
      <c r="A230" s="39" t="s">
        <v>224</v>
      </c>
      <c r="B230" s="49"/>
      <c r="C230" s="44"/>
      <c r="D230" s="55">
        <v>179.99203999999997</v>
      </c>
      <c r="E230" s="20">
        <v>5494.22</v>
      </c>
      <c r="F230" s="20">
        <v>236.2</v>
      </c>
      <c r="G230" s="20">
        <f t="shared" si="51"/>
        <v>5730.42</v>
      </c>
      <c r="H230" s="20">
        <v>896.5</v>
      </c>
      <c r="I230" s="20">
        <v>0</v>
      </c>
      <c r="J230" s="46">
        <f t="shared" si="52"/>
        <v>149.22707170281214</v>
      </c>
      <c r="K230" s="58">
        <f t="shared" si="53"/>
        <v>6.4153663916268782</v>
      </c>
      <c r="L230" s="46">
        <f t="shared" si="54"/>
        <v>23.345944936247452</v>
      </c>
      <c r="M230" s="46">
        <f t="shared" si="55"/>
        <v>1.0036569693135053</v>
      </c>
      <c r="N230" s="46">
        <f t="shared" si="56"/>
        <v>172.5730166390596</v>
      </c>
      <c r="O230" s="46">
        <f t="shared" si="57"/>
        <v>7.4190233609403835</v>
      </c>
      <c r="P230" s="20">
        <f t="shared" si="58"/>
        <v>0</v>
      </c>
    </row>
    <row r="231" spans="1:16" x14ac:dyDescent="0.25">
      <c r="A231" s="39" t="s">
        <v>54</v>
      </c>
      <c r="B231" s="49"/>
      <c r="C231" s="44"/>
      <c r="D231" s="55">
        <v>125.69750220246138</v>
      </c>
      <c r="E231" s="20">
        <v>5141.57</v>
      </c>
      <c r="F231" s="20">
        <v>407.7</v>
      </c>
      <c r="G231" s="20">
        <f t="shared" si="51"/>
        <v>5549.2699999999995</v>
      </c>
      <c r="H231" s="20">
        <v>1180.4000000000001</v>
      </c>
      <c r="I231" s="20">
        <v>0</v>
      </c>
      <c r="J231" s="46">
        <f t="shared" si="52"/>
        <v>96.034799091056357</v>
      </c>
      <c r="K231" s="58">
        <f t="shared" si="53"/>
        <v>7.6150645793840557</v>
      </c>
      <c r="L231" s="46">
        <f t="shared" si="54"/>
        <v>20.427817865608098</v>
      </c>
      <c r="M231" s="46">
        <f t="shared" si="55"/>
        <v>1.6198206664128705</v>
      </c>
      <c r="N231" s="46">
        <f t="shared" si="56"/>
        <v>116.46261695666445</v>
      </c>
      <c r="O231" s="46">
        <f t="shared" si="57"/>
        <v>9.2348852457969262</v>
      </c>
      <c r="P231" s="20">
        <f t="shared" si="58"/>
        <v>0</v>
      </c>
    </row>
    <row r="232" spans="1:16" x14ac:dyDescent="0.25">
      <c r="A232" s="39" t="s">
        <v>262</v>
      </c>
      <c r="B232" s="70"/>
      <c r="C232" s="39"/>
      <c r="D232" s="71">
        <v>32.799999999999997</v>
      </c>
      <c r="E232" s="39">
        <v>1187.4100000000001</v>
      </c>
      <c r="F232" s="39">
        <v>132.6</v>
      </c>
      <c r="G232" s="39">
        <f t="shared" si="51"/>
        <v>1320.01</v>
      </c>
      <c r="H232" s="39">
        <v>173</v>
      </c>
      <c r="I232" s="39">
        <v>0</v>
      </c>
      <c r="J232" s="46">
        <f t="shared" si="52"/>
        <v>26.086260641254913</v>
      </c>
      <c r="K232" s="58">
        <f t="shared" si="53"/>
        <v>2.9130950228062771</v>
      </c>
      <c r="L232" s="46">
        <f t="shared" ref="L232:L233" si="73">E232*(D232-J232-K232)/G232</f>
        <v>3.4188552290794001</v>
      </c>
      <c r="M232" s="46">
        <f t="shared" ref="M232:M233" si="74">F232*(D232-J232-K232)/G232</f>
        <v>0.38178910685940692</v>
      </c>
      <c r="N232" s="46">
        <f t="shared" ref="N232:N233" si="75">J232+L232</f>
        <v>29.505115870334315</v>
      </c>
      <c r="O232" s="46">
        <f t="shared" ref="O232:O233" si="76">K232+M232</f>
        <v>3.2948841296656841</v>
      </c>
      <c r="P232" s="20">
        <f t="shared" ref="P232:P233" si="77">D232-(N232+O232)</f>
        <v>0</v>
      </c>
    </row>
    <row r="233" spans="1:16" x14ac:dyDescent="0.25">
      <c r="A233" s="39" t="s">
        <v>263</v>
      </c>
      <c r="B233" s="70"/>
      <c r="C233" s="39"/>
      <c r="D233" s="71">
        <f>0.15+39.58</f>
        <v>39.729999999999997</v>
      </c>
      <c r="E233" s="39">
        <v>1179.32</v>
      </c>
      <c r="F233" s="39">
        <v>308</v>
      </c>
      <c r="G233" s="39">
        <f t="shared" si="51"/>
        <v>1487.32</v>
      </c>
      <c r="H233" s="39">
        <v>231.6</v>
      </c>
      <c r="I233" s="39">
        <v>0</v>
      </c>
      <c r="J233" s="46">
        <f t="shared" si="52"/>
        <v>27.258036208782258</v>
      </c>
      <c r="K233" s="58">
        <f t="shared" si="53"/>
        <v>7.1189118748981928</v>
      </c>
      <c r="L233" s="46">
        <f t="shared" si="73"/>
        <v>4.2445211426955645</v>
      </c>
      <c r="M233" s="46">
        <f t="shared" si="74"/>
        <v>1.1085307736239816</v>
      </c>
      <c r="N233" s="46">
        <f t="shared" si="75"/>
        <v>31.502557351477822</v>
      </c>
      <c r="O233" s="46">
        <f t="shared" si="76"/>
        <v>8.2274426485221746</v>
      </c>
      <c r="P233" s="20">
        <f t="shared" si="77"/>
        <v>0</v>
      </c>
    </row>
  </sheetData>
  <mergeCells count="56">
    <mergeCell ref="P2:P3"/>
    <mergeCell ref="B11:B12"/>
    <mergeCell ref="B13:B14"/>
    <mergeCell ref="B20:B21"/>
    <mergeCell ref="N2:O2"/>
    <mergeCell ref="B195:B196"/>
    <mergeCell ref="B198:B199"/>
    <mergeCell ref="B207:B208"/>
    <mergeCell ref="B227:B228"/>
    <mergeCell ref="B221:B222"/>
    <mergeCell ref="B211:B212"/>
    <mergeCell ref="B193:B194"/>
    <mergeCell ref="B113:B114"/>
    <mergeCell ref="B118:B119"/>
    <mergeCell ref="B133:B135"/>
    <mergeCell ref="B136:B139"/>
    <mergeCell ref="B143:B144"/>
    <mergeCell ref="B145:B147"/>
    <mergeCell ref="B154:B156"/>
    <mergeCell ref="B179:B180"/>
    <mergeCell ref="B182:B184"/>
    <mergeCell ref="B187:B189"/>
    <mergeCell ref="B190:B191"/>
    <mergeCell ref="B122:B123"/>
    <mergeCell ref="B35:B36"/>
    <mergeCell ref="B37:B38"/>
    <mergeCell ref="B108:B111"/>
    <mergeCell ref="B47:B48"/>
    <mergeCell ref="B51:B52"/>
    <mergeCell ref="B53:B54"/>
    <mergeCell ref="B55:B56"/>
    <mergeCell ref="B60:B61"/>
    <mergeCell ref="B68:B69"/>
    <mergeCell ref="B76:B81"/>
    <mergeCell ref="B87:B89"/>
    <mergeCell ref="B93:B95"/>
    <mergeCell ref="B97:B98"/>
    <mergeCell ref="B102:B103"/>
    <mergeCell ref="B62:B63"/>
    <mergeCell ref="B64:B65"/>
    <mergeCell ref="A2:A3"/>
    <mergeCell ref="B1:C1"/>
    <mergeCell ref="B45:B46"/>
    <mergeCell ref="J2:K2"/>
    <mergeCell ref="L2:M2"/>
    <mergeCell ref="I2:I3"/>
    <mergeCell ref="H2:H3"/>
    <mergeCell ref="G2:G3"/>
    <mergeCell ref="F2:F3"/>
    <mergeCell ref="E2:E3"/>
    <mergeCell ref="D2:D3"/>
    <mergeCell ref="C2:C3"/>
    <mergeCell ref="B2:B3"/>
    <mergeCell ref="B23:B24"/>
    <mergeCell ref="B28:B29"/>
    <mergeCell ref="B31:B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V144"/>
  <sheetViews>
    <sheetView topLeftCell="A86" zoomScaleNormal="100" workbookViewId="0">
      <selection activeCell="C95" sqref="C95:C96"/>
    </sheetView>
  </sheetViews>
  <sheetFormatPr defaultRowHeight="15" x14ac:dyDescent="0.25"/>
  <cols>
    <col min="1" max="1" width="48.42578125" style="3" customWidth="1"/>
    <col min="2" max="2" width="9.7109375" style="29" customWidth="1"/>
    <col min="3" max="3" width="8.5703125" style="24" customWidth="1"/>
    <col min="4" max="1296" width="9.140625" style="6"/>
  </cols>
  <sheetData>
    <row r="1" spans="1:3" x14ac:dyDescent="0.25">
      <c r="B1" s="92" t="s">
        <v>122</v>
      </c>
      <c r="C1" s="92"/>
    </row>
    <row r="2" spans="1:3" ht="15" customHeight="1" x14ac:dyDescent="0.25">
      <c r="A2" s="89" t="s">
        <v>0</v>
      </c>
      <c r="B2" s="91" t="s">
        <v>121</v>
      </c>
      <c r="C2" s="93"/>
    </row>
    <row r="3" spans="1:3" ht="15" customHeight="1" x14ac:dyDescent="0.25">
      <c r="A3" s="90"/>
      <c r="B3" s="91"/>
      <c r="C3" s="94"/>
    </row>
    <row r="4" spans="1:3" ht="15" customHeight="1" x14ac:dyDescent="0.25">
      <c r="A4" s="90"/>
      <c r="B4" s="91"/>
      <c r="C4" s="95"/>
    </row>
    <row r="5" spans="1:3" ht="18.75" x14ac:dyDescent="0.25">
      <c r="A5" s="1" t="s">
        <v>1</v>
      </c>
      <c r="B5" s="25">
        <v>217</v>
      </c>
      <c r="C5" s="20">
        <f>B5*C7/B7</f>
        <v>466.43852739726032</v>
      </c>
    </row>
    <row r="6" spans="1:3" ht="18.75" x14ac:dyDescent="0.25">
      <c r="A6" s="1" t="s">
        <v>118</v>
      </c>
      <c r="B6" s="25">
        <v>75</v>
      </c>
      <c r="C6" s="20">
        <f>B6*C7/B7</f>
        <v>161.21147260273975</v>
      </c>
    </row>
    <row r="7" spans="1:3" s="7" customFormat="1" ht="18.75" x14ac:dyDescent="0.25">
      <c r="A7" s="4"/>
      <c r="B7" s="26">
        <f>SUM(B5:B6)</f>
        <v>292</v>
      </c>
      <c r="C7" s="21">
        <v>627.65000000000009</v>
      </c>
    </row>
    <row r="8" spans="1:3" s="7" customFormat="1" ht="18.75" x14ac:dyDescent="0.25">
      <c r="A8" s="1" t="s">
        <v>131</v>
      </c>
      <c r="B8" s="27">
        <v>201</v>
      </c>
      <c r="C8" s="22">
        <f>B8*C10/B10</f>
        <v>525.50883802816907</v>
      </c>
    </row>
    <row r="9" spans="1:3" s="7" customFormat="1" ht="18.75" x14ac:dyDescent="0.25">
      <c r="A9" s="1" t="s">
        <v>132</v>
      </c>
      <c r="B9" s="27">
        <v>83</v>
      </c>
      <c r="C9" s="22">
        <f>B9*C10/B10</f>
        <v>217.00116197183098</v>
      </c>
    </row>
    <row r="10" spans="1:3" s="7" customFormat="1" ht="18.75" x14ac:dyDescent="0.25">
      <c r="A10" s="4"/>
      <c r="B10" s="26">
        <f>SUM(B8:B9)</f>
        <v>284</v>
      </c>
      <c r="C10" s="21">
        <v>742.51</v>
      </c>
    </row>
    <row r="11" spans="1:3" ht="18.75" x14ac:dyDescent="0.25">
      <c r="A11" s="1" t="s">
        <v>4</v>
      </c>
      <c r="B11" s="25">
        <v>74</v>
      </c>
      <c r="C11" s="20">
        <f>B11*C13/B13</f>
        <v>196.22842975206612</v>
      </c>
    </row>
    <row r="12" spans="1:3" ht="18.75" x14ac:dyDescent="0.25">
      <c r="A12" s="1" t="s">
        <v>5</v>
      </c>
      <c r="B12" s="25">
        <v>47</v>
      </c>
      <c r="C12" s="20">
        <f>B12*C13/B13</f>
        <v>124.63157024793388</v>
      </c>
    </row>
    <row r="13" spans="1:3" s="7" customFormat="1" ht="18.75" x14ac:dyDescent="0.25">
      <c r="A13" s="4"/>
      <c r="B13" s="26">
        <f>SUM(B11:B12)</f>
        <v>121</v>
      </c>
      <c r="C13" s="21">
        <v>320.86</v>
      </c>
    </row>
    <row r="14" spans="1:3" ht="18.75" x14ac:dyDescent="0.25">
      <c r="A14" s="1" t="s">
        <v>7</v>
      </c>
      <c r="B14" s="25">
        <v>197</v>
      </c>
      <c r="C14" s="20">
        <f>B14*C18/B18</f>
        <v>349.87284188034187</v>
      </c>
    </row>
    <row r="15" spans="1:3" ht="18.75" x14ac:dyDescent="0.25">
      <c r="A15" s="1" t="s">
        <v>59</v>
      </c>
      <c r="B15" s="25">
        <v>72</v>
      </c>
      <c r="C15" s="20">
        <f>B15*C18/B18</f>
        <v>127.87230769230769</v>
      </c>
    </row>
    <row r="16" spans="1:3" ht="18.75" x14ac:dyDescent="0.25">
      <c r="A16" s="1" t="s">
        <v>60</v>
      </c>
      <c r="B16" s="25">
        <v>66</v>
      </c>
      <c r="C16" s="20">
        <f>B16*C18/B18</f>
        <v>117.21628205128204</v>
      </c>
    </row>
    <row r="17" spans="1:1296" ht="18.75" x14ac:dyDescent="0.25">
      <c r="A17" s="1" t="s">
        <v>8</v>
      </c>
      <c r="B17" s="25">
        <v>133</v>
      </c>
      <c r="C17" s="20">
        <f>B17*C18/B18</f>
        <v>236.20856837606837</v>
      </c>
    </row>
    <row r="18" spans="1:1296" s="5" customFormat="1" ht="18.75" x14ac:dyDescent="0.25">
      <c r="A18" s="4"/>
      <c r="B18" s="26">
        <f>SUM(B14:B17)</f>
        <v>468</v>
      </c>
      <c r="C18" s="21">
        <v>831.17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</row>
    <row r="19" spans="1:1296" ht="18.75" x14ac:dyDescent="0.25">
      <c r="A19" s="1" t="s">
        <v>61</v>
      </c>
      <c r="B19" s="25">
        <v>123</v>
      </c>
      <c r="C19" s="20">
        <f>B19*C21/B21</f>
        <v>261.1644966442953</v>
      </c>
      <c r="H19" s="30"/>
    </row>
    <row r="20" spans="1:1296" ht="18.75" x14ac:dyDescent="0.25">
      <c r="A20" s="1" t="s">
        <v>62</v>
      </c>
      <c r="B20" s="25">
        <v>26</v>
      </c>
      <c r="C20" s="20">
        <f>B20*C21/B21</f>
        <v>55.205503355704707</v>
      </c>
      <c r="H20" s="30"/>
    </row>
    <row r="21" spans="1:1296" s="5" customFormat="1" ht="18.75" x14ac:dyDescent="0.25">
      <c r="A21" s="4"/>
      <c r="B21" s="26">
        <f>SUM(B19:B20)</f>
        <v>149</v>
      </c>
      <c r="C21" s="21">
        <v>316.37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</row>
    <row r="22" spans="1:1296" ht="18.75" x14ac:dyDescent="0.25">
      <c r="A22" s="1" t="s">
        <v>63</v>
      </c>
      <c r="B22" s="25">
        <v>365</v>
      </c>
      <c r="C22" s="20">
        <f>B22*C24/B24</f>
        <v>674.41621368539347</v>
      </c>
    </row>
    <row r="23" spans="1:1296" ht="18.75" x14ac:dyDescent="0.25">
      <c r="A23" s="1" t="s">
        <v>64</v>
      </c>
      <c r="B23" s="25">
        <v>80</v>
      </c>
      <c r="C23" s="20">
        <f>B23*C24/B24</f>
        <v>147.81725231460678</v>
      </c>
    </row>
    <row r="24" spans="1:1296" s="5" customFormat="1" ht="19.5" thickBot="1" x14ac:dyDescent="0.3">
      <c r="A24" s="4"/>
      <c r="B24" s="26">
        <f>SUM(B22:B23)</f>
        <v>445</v>
      </c>
      <c r="C24" s="31">
        <v>822.23346600000025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</row>
    <row r="25" spans="1:1296" ht="18.75" x14ac:dyDescent="0.25">
      <c r="A25" s="1" t="s">
        <v>83</v>
      </c>
      <c r="B25" s="25">
        <v>124</v>
      </c>
      <c r="C25" s="20">
        <f>B25*C27/B27</f>
        <v>193.44475095785441</v>
      </c>
    </row>
    <row r="26" spans="1:1296" ht="18.75" x14ac:dyDescent="0.25">
      <c r="A26" s="1" t="s">
        <v>84</v>
      </c>
      <c r="B26" s="25">
        <v>137</v>
      </c>
      <c r="C26" s="20">
        <f>B26*C27/B27</f>
        <v>213.72524904214561</v>
      </c>
    </row>
    <row r="27" spans="1:1296" s="5" customFormat="1" ht="18.75" x14ac:dyDescent="0.25">
      <c r="A27" s="4"/>
      <c r="B27" s="26">
        <f>SUM(B25:B26)</f>
        <v>261</v>
      </c>
      <c r="C27" s="21">
        <v>407.17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</row>
    <row r="28" spans="1:1296" ht="18.75" x14ac:dyDescent="0.25">
      <c r="A28" s="1" t="s">
        <v>73</v>
      </c>
      <c r="B28" s="25">
        <v>26</v>
      </c>
      <c r="C28" s="20">
        <f>B28*C30/B30</f>
        <v>33.508484848484848</v>
      </c>
    </row>
    <row r="29" spans="1:1296" ht="18.75" x14ac:dyDescent="0.25">
      <c r="A29" s="1" t="s">
        <v>119</v>
      </c>
      <c r="B29" s="25">
        <v>40</v>
      </c>
      <c r="C29" s="20">
        <f>B29*C30/B30</f>
        <v>51.551515151515154</v>
      </c>
    </row>
    <row r="30" spans="1:1296" s="5" customFormat="1" ht="18.75" x14ac:dyDescent="0.25">
      <c r="A30" s="4"/>
      <c r="B30" s="26">
        <f>SUM(B28:B29)</f>
        <v>66</v>
      </c>
      <c r="C30" s="21">
        <v>85.06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</row>
    <row r="31" spans="1:1296" s="7" customFormat="1" ht="18.75" x14ac:dyDescent="0.25">
      <c r="A31" s="1" t="s">
        <v>252</v>
      </c>
      <c r="B31" s="28">
        <v>49</v>
      </c>
      <c r="C31" s="67">
        <f>B31*C33/B33</f>
        <v>100.68165727896995</v>
      </c>
    </row>
    <row r="32" spans="1:1296" s="7" customFormat="1" ht="18.75" x14ac:dyDescent="0.25">
      <c r="A32" s="1" t="s">
        <v>253</v>
      </c>
      <c r="B32" s="28">
        <v>184</v>
      </c>
      <c r="C32" s="67">
        <f>B32*C33/B33</f>
        <v>378.06989672103003</v>
      </c>
    </row>
    <row r="33" spans="1:1296" s="7" customFormat="1" ht="18.75" x14ac:dyDescent="0.25">
      <c r="A33" s="4"/>
      <c r="B33" s="26">
        <f>B31+B32</f>
        <v>233</v>
      </c>
      <c r="C33" s="21">
        <v>478.751554</v>
      </c>
    </row>
    <row r="34" spans="1:1296" s="7" customFormat="1" ht="18.75" x14ac:dyDescent="0.25">
      <c r="A34" s="1" t="s">
        <v>254</v>
      </c>
      <c r="B34" s="28">
        <v>457</v>
      </c>
      <c r="C34" s="67">
        <f>B34*C36/B36</f>
        <v>832.89988573207415</v>
      </c>
    </row>
    <row r="35" spans="1:1296" s="7" customFormat="1" ht="18.75" x14ac:dyDescent="0.25">
      <c r="A35" s="1" t="s">
        <v>255</v>
      </c>
      <c r="B35" s="28">
        <v>16</v>
      </c>
      <c r="C35" s="67">
        <f>B35*C36/B36</f>
        <v>29.16060869083848</v>
      </c>
    </row>
    <row r="36" spans="1:1296" s="7" customFormat="1" ht="18.75" x14ac:dyDescent="0.25">
      <c r="A36" s="4"/>
      <c r="B36" s="26">
        <f>B34+B35</f>
        <v>473</v>
      </c>
      <c r="C36" s="21">
        <v>862.0604944229126</v>
      </c>
    </row>
    <row r="37" spans="1:1296" ht="18.75" x14ac:dyDescent="0.25">
      <c r="A37" s="1" t="s">
        <v>120</v>
      </c>
      <c r="B37" s="25">
        <v>138</v>
      </c>
      <c r="C37" s="20">
        <f>B37*C43/B43</f>
        <v>224.33608445297503</v>
      </c>
    </row>
    <row r="38" spans="1:1296" ht="18.75" x14ac:dyDescent="0.25">
      <c r="A38" s="1" t="s">
        <v>91</v>
      </c>
      <c r="B38" s="25">
        <v>128</v>
      </c>
      <c r="C38" s="20">
        <f>B38*C43/B43</f>
        <v>208.07984644913626</v>
      </c>
    </row>
    <row r="39" spans="1:1296" ht="18.75" x14ac:dyDescent="0.25">
      <c r="A39" s="1" t="s">
        <v>92</v>
      </c>
      <c r="B39" s="25">
        <v>14</v>
      </c>
      <c r="C39" s="20">
        <f>B39*C43/B43</f>
        <v>22.758733205374281</v>
      </c>
    </row>
    <row r="40" spans="1:1296" ht="18.75" x14ac:dyDescent="0.25">
      <c r="A40" s="1" t="s">
        <v>93</v>
      </c>
      <c r="B40" s="25">
        <v>52</v>
      </c>
      <c r="C40" s="20">
        <f>B40*C43/B43</f>
        <v>84.532437619961598</v>
      </c>
    </row>
    <row r="41" spans="1:1296" ht="18.75" x14ac:dyDescent="0.25">
      <c r="A41" s="1" t="s">
        <v>94</v>
      </c>
      <c r="B41" s="25">
        <v>97</v>
      </c>
      <c r="C41" s="20">
        <f>B41*C43/B43</f>
        <v>157.68550863723607</v>
      </c>
    </row>
    <row r="42" spans="1:1296" ht="18.75" x14ac:dyDescent="0.25">
      <c r="A42" s="1" t="s">
        <v>95</v>
      </c>
      <c r="B42" s="25">
        <v>92</v>
      </c>
      <c r="C42" s="20">
        <f>B42*C43/B43</f>
        <v>149.5573896353167</v>
      </c>
    </row>
    <row r="43" spans="1:1296" s="5" customFormat="1" ht="19.5" thickBot="1" x14ac:dyDescent="0.3">
      <c r="A43" s="4"/>
      <c r="B43" s="26">
        <f>SUM(B37:B42)</f>
        <v>521</v>
      </c>
      <c r="C43" s="68">
        <v>846.94999999999993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  <c r="AME43" s="7"/>
      <c r="AMF43" s="7"/>
      <c r="AMG43" s="7"/>
      <c r="AMH43" s="7"/>
      <c r="AMI43" s="7"/>
      <c r="AMJ43" s="7"/>
      <c r="AMK43" s="7"/>
      <c r="AML43" s="7"/>
      <c r="AMM43" s="7"/>
      <c r="AMN43" s="7"/>
      <c r="AMO43" s="7"/>
      <c r="AMP43" s="7"/>
      <c r="AMQ43" s="7"/>
      <c r="AMR43" s="7"/>
      <c r="AMS43" s="7"/>
      <c r="AMT43" s="7"/>
      <c r="AMU43" s="7"/>
      <c r="AMV43" s="7"/>
      <c r="AMW43" s="7"/>
      <c r="AMX43" s="7"/>
      <c r="AMY43" s="7"/>
      <c r="AMZ43" s="7"/>
      <c r="ANA43" s="7"/>
      <c r="ANB43" s="7"/>
      <c r="ANC43" s="7"/>
      <c r="AND43" s="7"/>
      <c r="ANE43" s="7"/>
      <c r="ANF43" s="7"/>
      <c r="ANG43" s="7"/>
      <c r="ANH43" s="7"/>
      <c r="ANI43" s="7"/>
      <c r="ANJ43" s="7"/>
      <c r="ANK43" s="7"/>
      <c r="ANL43" s="7"/>
      <c r="ANM43" s="7"/>
      <c r="ANN43" s="7"/>
      <c r="ANO43" s="7"/>
      <c r="ANP43" s="7"/>
      <c r="ANQ43" s="7"/>
      <c r="ANR43" s="7"/>
      <c r="ANS43" s="7"/>
      <c r="ANT43" s="7"/>
      <c r="ANU43" s="7"/>
      <c r="ANV43" s="7"/>
      <c r="ANW43" s="7"/>
      <c r="ANX43" s="7"/>
      <c r="ANY43" s="7"/>
      <c r="ANZ43" s="7"/>
      <c r="AOA43" s="7"/>
      <c r="AOB43" s="7"/>
      <c r="AOC43" s="7"/>
      <c r="AOD43" s="7"/>
      <c r="AOE43" s="7"/>
      <c r="AOF43" s="7"/>
      <c r="AOG43" s="7"/>
      <c r="AOH43" s="7"/>
      <c r="AOI43" s="7"/>
      <c r="AOJ43" s="7"/>
      <c r="AOK43" s="7"/>
      <c r="AOL43" s="7"/>
      <c r="AOM43" s="7"/>
      <c r="AON43" s="7"/>
      <c r="AOO43" s="7"/>
      <c r="AOP43" s="7"/>
      <c r="AOQ43" s="7"/>
      <c r="AOR43" s="7"/>
      <c r="AOS43" s="7"/>
      <c r="AOT43" s="7"/>
      <c r="AOU43" s="7"/>
      <c r="AOV43" s="7"/>
      <c r="AOW43" s="7"/>
      <c r="AOX43" s="7"/>
      <c r="AOY43" s="7"/>
      <c r="AOZ43" s="7"/>
      <c r="APA43" s="7"/>
      <c r="APB43" s="7"/>
      <c r="APC43" s="7"/>
      <c r="APD43" s="7"/>
      <c r="APE43" s="7"/>
      <c r="APF43" s="7"/>
      <c r="APG43" s="7"/>
      <c r="APH43" s="7"/>
      <c r="API43" s="7"/>
      <c r="APJ43" s="7"/>
      <c r="APK43" s="7"/>
      <c r="APL43" s="7"/>
      <c r="APM43" s="7"/>
      <c r="APN43" s="7"/>
      <c r="APO43" s="7"/>
      <c r="APP43" s="7"/>
      <c r="APQ43" s="7"/>
      <c r="APR43" s="7"/>
      <c r="APS43" s="7"/>
      <c r="APT43" s="7"/>
      <c r="APU43" s="7"/>
      <c r="APV43" s="7"/>
      <c r="APW43" s="7"/>
      <c r="APX43" s="7"/>
      <c r="APY43" s="7"/>
      <c r="APZ43" s="7"/>
      <c r="AQA43" s="7"/>
      <c r="AQB43" s="7"/>
      <c r="AQC43" s="7"/>
      <c r="AQD43" s="7"/>
      <c r="AQE43" s="7"/>
      <c r="AQF43" s="7"/>
      <c r="AQG43" s="7"/>
      <c r="AQH43" s="7"/>
      <c r="AQI43" s="7"/>
      <c r="AQJ43" s="7"/>
      <c r="AQK43" s="7"/>
      <c r="AQL43" s="7"/>
      <c r="AQM43" s="7"/>
      <c r="AQN43" s="7"/>
      <c r="AQO43" s="7"/>
      <c r="AQP43" s="7"/>
      <c r="AQQ43" s="7"/>
      <c r="AQR43" s="7"/>
      <c r="AQS43" s="7"/>
      <c r="AQT43" s="7"/>
      <c r="AQU43" s="7"/>
      <c r="AQV43" s="7"/>
      <c r="AQW43" s="7"/>
      <c r="AQX43" s="7"/>
      <c r="AQY43" s="7"/>
      <c r="AQZ43" s="7"/>
      <c r="ARA43" s="7"/>
      <c r="ARB43" s="7"/>
      <c r="ARC43" s="7"/>
      <c r="ARD43" s="7"/>
      <c r="ARE43" s="7"/>
      <c r="ARF43" s="7"/>
      <c r="ARG43" s="7"/>
      <c r="ARH43" s="7"/>
      <c r="ARI43" s="7"/>
      <c r="ARJ43" s="7"/>
      <c r="ARK43" s="7"/>
      <c r="ARL43" s="7"/>
      <c r="ARM43" s="7"/>
      <c r="ARN43" s="7"/>
      <c r="ARO43" s="7"/>
      <c r="ARP43" s="7"/>
      <c r="ARQ43" s="7"/>
      <c r="ARR43" s="7"/>
      <c r="ARS43" s="7"/>
      <c r="ART43" s="7"/>
      <c r="ARU43" s="7"/>
      <c r="ARV43" s="7"/>
      <c r="ARW43" s="7"/>
      <c r="ARX43" s="7"/>
      <c r="ARY43" s="7"/>
      <c r="ARZ43" s="7"/>
      <c r="ASA43" s="7"/>
      <c r="ASB43" s="7"/>
      <c r="ASC43" s="7"/>
      <c r="ASD43" s="7"/>
      <c r="ASE43" s="7"/>
      <c r="ASF43" s="7"/>
      <c r="ASG43" s="7"/>
      <c r="ASH43" s="7"/>
      <c r="ASI43" s="7"/>
      <c r="ASJ43" s="7"/>
      <c r="ASK43" s="7"/>
      <c r="ASL43" s="7"/>
      <c r="ASM43" s="7"/>
      <c r="ASN43" s="7"/>
      <c r="ASO43" s="7"/>
      <c r="ASP43" s="7"/>
      <c r="ASQ43" s="7"/>
      <c r="ASR43" s="7"/>
      <c r="ASS43" s="7"/>
      <c r="AST43" s="7"/>
      <c r="ASU43" s="7"/>
      <c r="ASV43" s="7"/>
      <c r="ASW43" s="7"/>
      <c r="ASX43" s="7"/>
      <c r="ASY43" s="7"/>
      <c r="ASZ43" s="7"/>
      <c r="ATA43" s="7"/>
      <c r="ATB43" s="7"/>
      <c r="ATC43" s="7"/>
      <c r="ATD43" s="7"/>
      <c r="ATE43" s="7"/>
      <c r="ATF43" s="7"/>
      <c r="ATG43" s="7"/>
      <c r="ATH43" s="7"/>
      <c r="ATI43" s="7"/>
      <c r="ATJ43" s="7"/>
      <c r="ATK43" s="7"/>
      <c r="ATL43" s="7"/>
      <c r="ATM43" s="7"/>
      <c r="ATN43" s="7"/>
      <c r="ATO43" s="7"/>
      <c r="ATP43" s="7"/>
      <c r="ATQ43" s="7"/>
      <c r="ATR43" s="7"/>
      <c r="ATS43" s="7"/>
      <c r="ATT43" s="7"/>
      <c r="ATU43" s="7"/>
      <c r="ATV43" s="7"/>
      <c r="ATW43" s="7"/>
      <c r="ATX43" s="7"/>
      <c r="ATY43" s="7"/>
      <c r="ATZ43" s="7"/>
      <c r="AUA43" s="7"/>
      <c r="AUB43" s="7"/>
      <c r="AUC43" s="7"/>
      <c r="AUD43" s="7"/>
      <c r="AUE43" s="7"/>
      <c r="AUF43" s="7"/>
      <c r="AUG43" s="7"/>
      <c r="AUH43" s="7"/>
      <c r="AUI43" s="7"/>
      <c r="AUJ43" s="7"/>
      <c r="AUK43" s="7"/>
      <c r="AUL43" s="7"/>
      <c r="AUM43" s="7"/>
      <c r="AUN43" s="7"/>
      <c r="AUO43" s="7"/>
      <c r="AUP43" s="7"/>
      <c r="AUQ43" s="7"/>
      <c r="AUR43" s="7"/>
      <c r="AUS43" s="7"/>
      <c r="AUT43" s="7"/>
      <c r="AUU43" s="7"/>
      <c r="AUV43" s="7"/>
      <c r="AUW43" s="7"/>
      <c r="AUX43" s="7"/>
      <c r="AUY43" s="7"/>
      <c r="AUZ43" s="7"/>
      <c r="AVA43" s="7"/>
      <c r="AVB43" s="7"/>
      <c r="AVC43" s="7"/>
      <c r="AVD43" s="7"/>
      <c r="AVE43" s="7"/>
      <c r="AVF43" s="7"/>
      <c r="AVG43" s="7"/>
      <c r="AVH43" s="7"/>
      <c r="AVI43" s="7"/>
      <c r="AVJ43" s="7"/>
      <c r="AVK43" s="7"/>
      <c r="AVL43" s="7"/>
      <c r="AVM43" s="7"/>
      <c r="AVN43" s="7"/>
      <c r="AVO43" s="7"/>
      <c r="AVP43" s="7"/>
      <c r="AVQ43" s="7"/>
      <c r="AVR43" s="7"/>
      <c r="AVS43" s="7"/>
      <c r="AVT43" s="7"/>
      <c r="AVU43" s="7"/>
      <c r="AVV43" s="7"/>
      <c r="AVW43" s="7"/>
      <c r="AVX43" s="7"/>
      <c r="AVY43" s="7"/>
      <c r="AVZ43" s="7"/>
      <c r="AWA43" s="7"/>
      <c r="AWB43" s="7"/>
      <c r="AWC43" s="7"/>
      <c r="AWD43" s="7"/>
      <c r="AWE43" s="7"/>
      <c r="AWF43" s="7"/>
      <c r="AWG43" s="7"/>
      <c r="AWH43" s="7"/>
      <c r="AWI43" s="7"/>
      <c r="AWJ43" s="7"/>
      <c r="AWK43" s="7"/>
      <c r="AWL43" s="7"/>
      <c r="AWM43" s="7"/>
      <c r="AWN43" s="7"/>
      <c r="AWO43" s="7"/>
      <c r="AWP43" s="7"/>
      <c r="AWQ43" s="7"/>
      <c r="AWR43" s="7"/>
      <c r="AWS43" s="7"/>
      <c r="AWT43" s="7"/>
      <c r="AWU43" s="7"/>
      <c r="AWV43" s="7"/>
    </row>
    <row r="44" spans="1:1296" ht="18.75" x14ac:dyDescent="0.25">
      <c r="A44" s="1" t="s">
        <v>125</v>
      </c>
      <c r="B44" s="25"/>
      <c r="C44" s="20"/>
      <c r="F44" s="30"/>
    </row>
    <row r="45" spans="1:1296" ht="18.75" x14ac:dyDescent="0.25">
      <c r="A45" s="1" t="s">
        <v>81</v>
      </c>
      <c r="B45" s="25">
        <v>2</v>
      </c>
      <c r="C45" s="20">
        <f>B45*C47/B47</f>
        <v>8.8977777777777778</v>
      </c>
      <c r="F45" s="30"/>
    </row>
    <row r="46" spans="1:1296" ht="18.75" x14ac:dyDescent="0.25">
      <c r="A46" s="1" t="s">
        <v>124</v>
      </c>
      <c r="B46" s="25">
        <v>25</v>
      </c>
      <c r="C46" s="20">
        <f>B46*C47/B47</f>
        <v>111.2222222222222</v>
      </c>
      <c r="F46" s="30"/>
    </row>
    <row r="47" spans="1:1296" s="5" customFormat="1" ht="18.75" x14ac:dyDescent="0.25">
      <c r="A47" s="4"/>
      <c r="B47" s="26">
        <f>SUM(B45:B46)</f>
        <v>27</v>
      </c>
      <c r="C47" s="21">
        <v>120.11999999999999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  <c r="SN47" s="7"/>
      <c r="SO47" s="7"/>
      <c r="SP47" s="7"/>
      <c r="SQ47" s="7"/>
      <c r="SR47" s="7"/>
      <c r="SS47" s="7"/>
      <c r="ST47" s="7"/>
      <c r="SU47" s="7"/>
      <c r="SV47" s="7"/>
      <c r="SW47" s="7"/>
      <c r="SX47" s="7"/>
      <c r="SY47" s="7"/>
      <c r="SZ47" s="7"/>
      <c r="TA47" s="7"/>
      <c r="TB47" s="7"/>
      <c r="TC47" s="7"/>
      <c r="TD47" s="7"/>
      <c r="TE47" s="7"/>
      <c r="TF47" s="7"/>
      <c r="TG47" s="7"/>
      <c r="TH47" s="7"/>
      <c r="TI47" s="7"/>
      <c r="TJ47" s="7"/>
      <c r="TK47" s="7"/>
      <c r="TL47" s="7"/>
      <c r="TM47" s="7"/>
      <c r="TN47" s="7"/>
      <c r="TO47" s="7"/>
      <c r="TP47" s="7"/>
      <c r="TQ47" s="7"/>
      <c r="TR47" s="7"/>
      <c r="TS47" s="7"/>
      <c r="TT47" s="7"/>
      <c r="TU47" s="7"/>
      <c r="TV47" s="7"/>
      <c r="TW47" s="7"/>
      <c r="TX47" s="7"/>
      <c r="TY47" s="7"/>
      <c r="TZ47" s="7"/>
      <c r="UA47" s="7"/>
      <c r="UB47" s="7"/>
      <c r="UC47" s="7"/>
      <c r="UD47" s="7"/>
      <c r="UE47" s="7"/>
      <c r="UF47" s="7"/>
      <c r="UG47" s="7"/>
      <c r="UH47" s="7"/>
      <c r="UI47" s="7"/>
      <c r="UJ47" s="7"/>
      <c r="UK47" s="7"/>
      <c r="UL47" s="7"/>
      <c r="UM47" s="7"/>
      <c r="UN47" s="7"/>
      <c r="UO47" s="7"/>
      <c r="UP47" s="7"/>
      <c r="UQ47" s="7"/>
      <c r="UR47" s="7"/>
      <c r="US47" s="7"/>
      <c r="UT47" s="7"/>
      <c r="UU47" s="7"/>
      <c r="UV47" s="7"/>
      <c r="UW47" s="7"/>
      <c r="UX47" s="7"/>
      <c r="UY47" s="7"/>
      <c r="UZ47" s="7"/>
      <c r="VA47" s="7"/>
      <c r="VB47" s="7"/>
      <c r="VC47" s="7"/>
      <c r="VD47" s="7"/>
      <c r="VE47" s="7"/>
      <c r="VF47" s="7"/>
      <c r="VG47" s="7"/>
      <c r="VH47" s="7"/>
      <c r="VI47" s="7"/>
      <c r="VJ47" s="7"/>
      <c r="VK47" s="7"/>
      <c r="VL47" s="7"/>
      <c r="VM47" s="7"/>
      <c r="VN47" s="7"/>
      <c r="VO47" s="7"/>
      <c r="VP47" s="7"/>
      <c r="VQ47" s="7"/>
      <c r="VR47" s="7"/>
      <c r="VS47" s="7"/>
      <c r="VT47" s="7"/>
      <c r="VU47" s="7"/>
      <c r="VV47" s="7"/>
      <c r="VW47" s="7"/>
      <c r="VX47" s="7"/>
      <c r="VY47" s="7"/>
      <c r="VZ47" s="7"/>
      <c r="WA47" s="7"/>
      <c r="WB47" s="7"/>
      <c r="WC47" s="7"/>
      <c r="WD47" s="7"/>
      <c r="WE47" s="7"/>
      <c r="WF47" s="7"/>
      <c r="WG47" s="7"/>
      <c r="WH47" s="7"/>
      <c r="WI47" s="7"/>
      <c r="WJ47" s="7"/>
      <c r="WK47" s="7"/>
      <c r="WL47" s="7"/>
      <c r="WM47" s="7"/>
      <c r="WN47" s="7"/>
      <c r="WO47" s="7"/>
      <c r="WP47" s="7"/>
      <c r="WQ47" s="7"/>
      <c r="WR47" s="7"/>
      <c r="WS47" s="7"/>
      <c r="WT47" s="7"/>
      <c r="WU47" s="7"/>
      <c r="WV47" s="7"/>
      <c r="WW47" s="7"/>
      <c r="WX47" s="7"/>
      <c r="WY47" s="7"/>
      <c r="WZ47" s="7"/>
      <c r="XA47" s="7"/>
      <c r="XB47" s="7"/>
      <c r="XC47" s="7"/>
      <c r="XD47" s="7"/>
      <c r="XE47" s="7"/>
      <c r="XF47" s="7"/>
      <c r="XG47" s="7"/>
      <c r="XH47" s="7"/>
      <c r="XI47" s="7"/>
      <c r="XJ47" s="7"/>
      <c r="XK47" s="7"/>
      <c r="XL47" s="7"/>
      <c r="XM47" s="7"/>
      <c r="XN47" s="7"/>
      <c r="XO47" s="7"/>
      <c r="XP47" s="7"/>
      <c r="XQ47" s="7"/>
      <c r="XR47" s="7"/>
      <c r="XS47" s="7"/>
      <c r="XT47" s="7"/>
      <c r="XU47" s="7"/>
      <c r="XV47" s="7"/>
      <c r="XW47" s="7"/>
      <c r="XX47" s="7"/>
      <c r="XY47" s="7"/>
      <c r="XZ47" s="7"/>
      <c r="YA47" s="7"/>
      <c r="YB47" s="7"/>
      <c r="YC47" s="7"/>
      <c r="YD47" s="7"/>
      <c r="YE47" s="7"/>
      <c r="YF47" s="7"/>
      <c r="YG47" s="7"/>
      <c r="YH47" s="7"/>
      <c r="YI47" s="7"/>
      <c r="YJ47" s="7"/>
      <c r="YK47" s="7"/>
      <c r="YL47" s="7"/>
      <c r="YM47" s="7"/>
      <c r="YN47" s="7"/>
      <c r="YO47" s="7"/>
      <c r="YP47" s="7"/>
      <c r="YQ47" s="7"/>
      <c r="YR47" s="7"/>
      <c r="YS47" s="7"/>
      <c r="YT47" s="7"/>
      <c r="YU47" s="7"/>
      <c r="YV47" s="7"/>
      <c r="YW47" s="7"/>
      <c r="YX47" s="7"/>
      <c r="YY47" s="7"/>
      <c r="YZ47" s="7"/>
      <c r="ZA47" s="7"/>
      <c r="ZB47" s="7"/>
      <c r="ZC47" s="7"/>
      <c r="ZD47" s="7"/>
      <c r="ZE47" s="7"/>
      <c r="ZF47" s="7"/>
      <c r="ZG47" s="7"/>
      <c r="ZH47" s="7"/>
      <c r="ZI47" s="7"/>
      <c r="ZJ47" s="7"/>
      <c r="ZK47" s="7"/>
      <c r="ZL47" s="7"/>
      <c r="ZM47" s="7"/>
      <c r="ZN47" s="7"/>
      <c r="ZO47" s="7"/>
      <c r="ZP47" s="7"/>
      <c r="ZQ47" s="7"/>
      <c r="ZR47" s="7"/>
      <c r="ZS47" s="7"/>
      <c r="ZT47" s="7"/>
      <c r="ZU47" s="7"/>
      <c r="ZV47" s="7"/>
      <c r="ZW47" s="7"/>
      <c r="ZX47" s="7"/>
      <c r="ZY47" s="7"/>
      <c r="ZZ47" s="7"/>
      <c r="AAA47" s="7"/>
      <c r="AAB47" s="7"/>
      <c r="AAC47" s="7"/>
      <c r="AAD47" s="7"/>
      <c r="AAE47" s="7"/>
      <c r="AAF47" s="7"/>
      <c r="AAG47" s="7"/>
      <c r="AAH47" s="7"/>
      <c r="AAI47" s="7"/>
      <c r="AAJ47" s="7"/>
      <c r="AAK47" s="7"/>
      <c r="AAL47" s="7"/>
      <c r="AAM47" s="7"/>
      <c r="AAN47" s="7"/>
      <c r="AAO47" s="7"/>
      <c r="AAP47" s="7"/>
      <c r="AAQ47" s="7"/>
      <c r="AAR47" s="7"/>
      <c r="AAS47" s="7"/>
      <c r="AAT47" s="7"/>
      <c r="AAU47" s="7"/>
      <c r="AAV47" s="7"/>
      <c r="AAW47" s="7"/>
      <c r="AAX47" s="7"/>
      <c r="AAY47" s="7"/>
      <c r="AAZ47" s="7"/>
      <c r="ABA47" s="7"/>
      <c r="ABB47" s="7"/>
      <c r="ABC47" s="7"/>
      <c r="ABD47" s="7"/>
      <c r="ABE47" s="7"/>
      <c r="ABF47" s="7"/>
      <c r="ABG47" s="7"/>
      <c r="ABH47" s="7"/>
      <c r="ABI47" s="7"/>
      <c r="ABJ47" s="7"/>
      <c r="ABK47" s="7"/>
      <c r="ABL47" s="7"/>
      <c r="ABM47" s="7"/>
      <c r="ABN47" s="7"/>
      <c r="ABO47" s="7"/>
      <c r="ABP47" s="7"/>
      <c r="ABQ47" s="7"/>
      <c r="ABR47" s="7"/>
      <c r="ABS47" s="7"/>
      <c r="ABT47" s="7"/>
      <c r="ABU47" s="7"/>
      <c r="ABV47" s="7"/>
      <c r="ABW47" s="7"/>
      <c r="ABX47" s="7"/>
      <c r="ABY47" s="7"/>
      <c r="ABZ47" s="7"/>
      <c r="ACA47" s="7"/>
      <c r="ACB47" s="7"/>
      <c r="ACC47" s="7"/>
      <c r="ACD47" s="7"/>
      <c r="ACE47" s="7"/>
      <c r="ACF47" s="7"/>
      <c r="ACG47" s="7"/>
      <c r="ACH47" s="7"/>
      <c r="ACI47" s="7"/>
      <c r="ACJ47" s="7"/>
      <c r="ACK47" s="7"/>
      <c r="ACL47" s="7"/>
      <c r="ACM47" s="7"/>
      <c r="ACN47" s="7"/>
      <c r="ACO47" s="7"/>
      <c r="ACP47" s="7"/>
      <c r="ACQ47" s="7"/>
      <c r="ACR47" s="7"/>
      <c r="ACS47" s="7"/>
      <c r="ACT47" s="7"/>
      <c r="ACU47" s="7"/>
      <c r="ACV47" s="7"/>
      <c r="ACW47" s="7"/>
      <c r="ACX47" s="7"/>
      <c r="ACY47" s="7"/>
      <c r="ACZ47" s="7"/>
      <c r="ADA47" s="7"/>
      <c r="ADB47" s="7"/>
      <c r="ADC47" s="7"/>
      <c r="ADD47" s="7"/>
      <c r="ADE47" s="7"/>
      <c r="ADF47" s="7"/>
      <c r="ADG47" s="7"/>
      <c r="ADH47" s="7"/>
      <c r="ADI47" s="7"/>
      <c r="ADJ47" s="7"/>
      <c r="ADK47" s="7"/>
      <c r="ADL47" s="7"/>
      <c r="ADM47" s="7"/>
      <c r="ADN47" s="7"/>
      <c r="ADO47" s="7"/>
      <c r="ADP47" s="7"/>
      <c r="ADQ47" s="7"/>
      <c r="ADR47" s="7"/>
      <c r="ADS47" s="7"/>
      <c r="ADT47" s="7"/>
      <c r="ADU47" s="7"/>
      <c r="ADV47" s="7"/>
      <c r="ADW47" s="7"/>
      <c r="ADX47" s="7"/>
      <c r="ADY47" s="7"/>
      <c r="ADZ47" s="7"/>
      <c r="AEA47" s="7"/>
      <c r="AEB47" s="7"/>
      <c r="AEC47" s="7"/>
      <c r="AED47" s="7"/>
      <c r="AEE47" s="7"/>
      <c r="AEF47" s="7"/>
      <c r="AEG47" s="7"/>
      <c r="AEH47" s="7"/>
      <c r="AEI47" s="7"/>
      <c r="AEJ47" s="7"/>
      <c r="AEK47" s="7"/>
      <c r="AEL47" s="7"/>
      <c r="AEM47" s="7"/>
      <c r="AEN47" s="7"/>
      <c r="AEO47" s="7"/>
      <c r="AEP47" s="7"/>
      <c r="AEQ47" s="7"/>
      <c r="AER47" s="7"/>
      <c r="AES47" s="7"/>
      <c r="AET47" s="7"/>
      <c r="AEU47" s="7"/>
      <c r="AEV47" s="7"/>
      <c r="AEW47" s="7"/>
      <c r="AEX47" s="7"/>
      <c r="AEY47" s="7"/>
      <c r="AEZ47" s="7"/>
      <c r="AFA47" s="7"/>
      <c r="AFB47" s="7"/>
      <c r="AFC47" s="7"/>
      <c r="AFD47" s="7"/>
      <c r="AFE47" s="7"/>
      <c r="AFF47" s="7"/>
      <c r="AFG47" s="7"/>
      <c r="AFH47" s="7"/>
      <c r="AFI47" s="7"/>
      <c r="AFJ47" s="7"/>
      <c r="AFK47" s="7"/>
      <c r="AFL47" s="7"/>
      <c r="AFM47" s="7"/>
      <c r="AFN47" s="7"/>
      <c r="AFO47" s="7"/>
      <c r="AFP47" s="7"/>
      <c r="AFQ47" s="7"/>
      <c r="AFR47" s="7"/>
      <c r="AFS47" s="7"/>
      <c r="AFT47" s="7"/>
      <c r="AFU47" s="7"/>
      <c r="AFV47" s="7"/>
      <c r="AFW47" s="7"/>
      <c r="AFX47" s="7"/>
      <c r="AFY47" s="7"/>
      <c r="AFZ47" s="7"/>
      <c r="AGA47" s="7"/>
      <c r="AGB47" s="7"/>
      <c r="AGC47" s="7"/>
      <c r="AGD47" s="7"/>
      <c r="AGE47" s="7"/>
      <c r="AGF47" s="7"/>
      <c r="AGG47" s="7"/>
      <c r="AGH47" s="7"/>
      <c r="AGI47" s="7"/>
      <c r="AGJ47" s="7"/>
      <c r="AGK47" s="7"/>
      <c r="AGL47" s="7"/>
      <c r="AGM47" s="7"/>
      <c r="AGN47" s="7"/>
      <c r="AGO47" s="7"/>
      <c r="AGP47" s="7"/>
      <c r="AGQ47" s="7"/>
      <c r="AGR47" s="7"/>
      <c r="AGS47" s="7"/>
      <c r="AGT47" s="7"/>
      <c r="AGU47" s="7"/>
      <c r="AGV47" s="7"/>
      <c r="AGW47" s="7"/>
      <c r="AGX47" s="7"/>
      <c r="AGY47" s="7"/>
      <c r="AGZ47" s="7"/>
      <c r="AHA47" s="7"/>
      <c r="AHB47" s="7"/>
      <c r="AHC47" s="7"/>
      <c r="AHD47" s="7"/>
      <c r="AHE47" s="7"/>
      <c r="AHF47" s="7"/>
      <c r="AHG47" s="7"/>
      <c r="AHH47" s="7"/>
      <c r="AHI47" s="7"/>
      <c r="AHJ47" s="7"/>
      <c r="AHK47" s="7"/>
      <c r="AHL47" s="7"/>
      <c r="AHM47" s="7"/>
      <c r="AHN47" s="7"/>
      <c r="AHO47" s="7"/>
      <c r="AHP47" s="7"/>
      <c r="AHQ47" s="7"/>
      <c r="AHR47" s="7"/>
      <c r="AHS47" s="7"/>
      <c r="AHT47" s="7"/>
      <c r="AHU47" s="7"/>
      <c r="AHV47" s="7"/>
      <c r="AHW47" s="7"/>
      <c r="AHX47" s="7"/>
      <c r="AHY47" s="7"/>
      <c r="AHZ47" s="7"/>
      <c r="AIA47" s="7"/>
      <c r="AIB47" s="7"/>
      <c r="AIC47" s="7"/>
      <c r="AID47" s="7"/>
      <c r="AIE47" s="7"/>
      <c r="AIF47" s="7"/>
      <c r="AIG47" s="7"/>
      <c r="AIH47" s="7"/>
      <c r="AII47" s="7"/>
      <c r="AIJ47" s="7"/>
      <c r="AIK47" s="7"/>
      <c r="AIL47" s="7"/>
      <c r="AIM47" s="7"/>
      <c r="AIN47" s="7"/>
      <c r="AIO47" s="7"/>
      <c r="AIP47" s="7"/>
      <c r="AIQ47" s="7"/>
      <c r="AIR47" s="7"/>
      <c r="AIS47" s="7"/>
      <c r="AIT47" s="7"/>
      <c r="AIU47" s="7"/>
      <c r="AIV47" s="7"/>
      <c r="AIW47" s="7"/>
      <c r="AIX47" s="7"/>
      <c r="AIY47" s="7"/>
      <c r="AIZ47" s="7"/>
      <c r="AJA47" s="7"/>
      <c r="AJB47" s="7"/>
      <c r="AJC47" s="7"/>
      <c r="AJD47" s="7"/>
      <c r="AJE47" s="7"/>
      <c r="AJF47" s="7"/>
      <c r="AJG47" s="7"/>
      <c r="AJH47" s="7"/>
      <c r="AJI47" s="7"/>
      <c r="AJJ47" s="7"/>
      <c r="AJK47" s="7"/>
      <c r="AJL47" s="7"/>
      <c r="AJM47" s="7"/>
      <c r="AJN47" s="7"/>
      <c r="AJO47" s="7"/>
      <c r="AJP47" s="7"/>
      <c r="AJQ47" s="7"/>
      <c r="AJR47" s="7"/>
      <c r="AJS47" s="7"/>
      <c r="AJT47" s="7"/>
      <c r="AJU47" s="7"/>
      <c r="AJV47" s="7"/>
      <c r="AJW47" s="7"/>
      <c r="AJX47" s="7"/>
      <c r="AJY47" s="7"/>
      <c r="AJZ47" s="7"/>
      <c r="AKA47" s="7"/>
      <c r="AKB47" s="7"/>
      <c r="AKC47" s="7"/>
      <c r="AKD47" s="7"/>
      <c r="AKE47" s="7"/>
      <c r="AKF47" s="7"/>
      <c r="AKG47" s="7"/>
      <c r="AKH47" s="7"/>
      <c r="AKI47" s="7"/>
      <c r="AKJ47" s="7"/>
      <c r="AKK47" s="7"/>
      <c r="AKL47" s="7"/>
      <c r="AKM47" s="7"/>
      <c r="AKN47" s="7"/>
      <c r="AKO47" s="7"/>
      <c r="AKP47" s="7"/>
      <c r="AKQ47" s="7"/>
      <c r="AKR47" s="7"/>
      <c r="AKS47" s="7"/>
      <c r="AKT47" s="7"/>
      <c r="AKU47" s="7"/>
      <c r="AKV47" s="7"/>
      <c r="AKW47" s="7"/>
      <c r="AKX47" s="7"/>
      <c r="AKY47" s="7"/>
      <c r="AKZ47" s="7"/>
      <c r="ALA47" s="7"/>
      <c r="ALB47" s="7"/>
      <c r="ALC47" s="7"/>
      <c r="ALD47" s="7"/>
      <c r="ALE47" s="7"/>
      <c r="ALF47" s="7"/>
      <c r="ALG47" s="7"/>
      <c r="ALH47" s="7"/>
      <c r="ALI47" s="7"/>
      <c r="ALJ47" s="7"/>
      <c r="ALK47" s="7"/>
      <c r="ALL47" s="7"/>
      <c r="ALM47" s="7"/>
      <c r="ALN47" s="7"/>
      <c r="ALO47" s="7"/>
      <c r="ALP47" s="7"/>
      <c r="ALQ47" s="7"/>
      <c r="ALR47" s="7"/>
      <c r="ALS47" s="7"/>
      <c r="ALT47" s="7"/>
      <c r="ALU47" s="7"/>
      <c r="ALV47" s="7"/>
      <c r="ALW47" s="7"/>
      <c r="ALX47" s="7"/>
      <c r="ALY47" s="7"/>
      <c r="ALZ47" s="7"/>
      <c r="AMA47" s="7"/>
      <c r="AMB47" s="7"/>
      <c r="AMC47" s="7"/>
      <c r="AMD47" s="7"/>
      <c r="AME47" s="7"/>
      <c r="AMF47" s="7"/>
      <c r="AMG47" s="7"/>
      <c r="AMH47" s="7"/>
      <c r="AMI47" s="7"/>
      <c r="AMJ47" s="7"/>
      <c r="AMK47" s="7"/>
      <c r="AML47" s="7"/>
      <c r="AMM47" s="7"/>
      <c r="AMN47" s="7"/>
      <c r="AMO47" s="7"/>
      <c r="AMP47" s="7"/>
      <c r="AMQ47" s="7"/>
      <c r="AMR47" s="7"/>
      <c r="AMS47" s="7"/>
      <c r="AMT47" s="7"/>
      <c r="AMU47" s="7"/>
      <c r="AMV47" s="7"/>
      <c r="AMW47" s="7"/>
      <c r="AMX47" s="7"/>
      <c r="AMY47" s="7"/>
      <c r="AMZ47" s="7"/>
      <c r="ANA47" s="7"/>
      <c r="ANB47" s="7"/>
      <c r="ANC47" s="7"/>
      <c r="AND47" s="7"/>
      <c r="ANE47" s="7"/>
      <c r="ANF47" s="7"/>
      <c r="ANG47" s="7"/>
      <c r="ANH47" s="7"/>
      <c r="ANI47" s="7"/>
      <c r="ANJ47" s="7"/>
      <c r="ANK47" s="7"/>
      <c r="ANL47" s="7"/>
      <c r="ANM47" s="7"/>
      <c r="ANN47" s="7"/>
      <c r="ANO47" s="7"/>
      <c r="ANP47" s="7"/>
      <c r="ANQ47" s="7"/>
      <c r="ANR47" s="7"/>
      <c r="ANS47" s="7"/>
      <c r="ANT47" s="7"/>
      <c r="ANU47" s="7"/>
      <c r="ANV47" s="7"/>
      <c r="ANW47" s="7"/>
      <c r="ANX47" s="7"/>
      <c r="ANY47" s="7"/>
      <c r="ANZ47" s="7"/>
      <c r="AOA47" s="7"/>
      <c r="AOB47" s="7"/>
      <c r="AOC47" s="7"/>
      <c r="AOD47" s="7"/>
      <c r="AOE47" s="7"/>
      <c r="AOF47" s="7"/>
      <c r="AOG47" s="7"/>
      <c r="AOH47" s="7"/>
      <c r="AOI47" s="7"/>
      <c r="AOJ47" s="7"/>
      <c r="AOK47" s="7"/>
      <c r="AOL47" s="7"/>
      <c r="AOM47" s="7"/>
      <c r="AON47" s="7"/>
      <c r="AOO47" s="7"/>
      <c r="AOP47" s="7"/>
      <c r="AOQ47" s="7"/>
      <c r="AOR47" s="7"/>
      <c r="AOS47" s="7"/>
      <c r="AOT47" s="7"/>
      <c r="AOU47" s="7"/>
      <c r="AOV47" s="7"/>
      <c r="AOW47" s="7"/>
      <c r="AOX47" s="7"/>
      <c r="AOY47" s="7"/>
      <c r="AOZ47" s="7"/>
      <c r="APA47" s="7"/>
      <c r="APB47" s="7"/>
      <c r="APC47" s="7"/>
      <c r="APD47" s="7"/>
      <c r="APE47" s="7"/>
      <c r="APF47" s="7"/>
      <c r="APG47" s="7"/>
      <c r="APH47" s="7"/>
      <c r="API47" s="7"/>
      <c r="APJ47" s="7"/>
      <c r="APK47" s="7"/>
      <c r="APL47" s="7"/>
      <c r="APM47" s="7"/>
      <c r="APN47" s="7"/>
      <c r="APO47" s="7"/>
      <c r="APP47" s="7"/>
      <c r="APQ47" s="7"/>
      <c r="APR47" s="7"/>
      <c r="APS47" s="7"/>
      <c r="APT47" s="7"/>
      <c r="APU47" s="7"/>
      <c r="APV47" s="7"/>
      <c r="APW47" s="7"/>
      <c r="APX47" s="7"/>
      <c r="APY47" s="7"/>
      <c r="APZ47" s="7"/>
      <c r="AQA47" s="7"/>
      <c r="AQB47" s="7"/>
      <c r="AQC47" s="7"/>
      <c r="AQD47" s="7"/>
      <c r="AQE47" s="7"/>
      <c r="AQF47" s="7"/>
      <c r="AQG47" s="7"/>
      <c r="AQH47" s="7"/>
      <c r="AQI47" s="7"/>
      <c r="AQJ47" s="7"/>
      <c r="AQK47" s="7"/>
      <c r="AQL47" s="7"/>
      <c r="AQM47" s="7"/>
      <c r="AQN47" s="7"/>
      <c r="AQO47" s="7"/>
      <c r="AQP47" s="7"/>
      <c r="AQQ47" s="7"/>
      <c r="AQR47" s="7"/>
      <c r="AQS47" s="7"/>
      <c r="AQT47" s="7"/>
      <c r="AQU47" s="7"/>
      <c r="AQV47" s="7"/>
      <c r="AQW47" s="7"/>
      <c r="AQX47" s="7"/>
      <c r="AQY47" s="7"/>
      <c r="AQZ47" s="7"/>
      <c r="ARA47" s="7"/>
      <c r="ARB47" s="7"/>
      <c r="ARC47" s="7"/>
      <c r="ARD47" s="7"/>
      <c r="ARE47" s="7"/>
      <c r="ARF47" s="7"/>
      <c r="ARG47" s="7"/>
      <c r="ARH47" s="7"/>
      <c r="ARI47" s="7"/>
      <c r="ARJ47" s="7"/>
      <c r="ARK47" s="7"/>
      <c r="ARL47" s="7"/>
      <c r="ARM47" s="7"/>
      <c r="ARN47" s="7"/>
      <c r="ARO47" s="7"/>
      <c r="ARP47" s="7"/>
      <c r="ARQ47" s="7"/>
      <c r="ARR47" s="7"/>
      <c r="ARS47" s="7"/>
      <c r="ART47" s="7"/>
      <c r="ARU47" s="7"/>
      <c r="ARV47" s="7"/>
      <c r="ARW47" s="7"/>
      <c r="ARX47" s="7"/>
      <c r="ARY47" s="7"/>
      <c r="ARZ47" s="7"/>
      <c r="ASA47" s="7"/>
      <c r="ASB47" s="7"/>
      <c r="ASC47" s="7"/>
      <c r="ASD47" s="7"/>
      <c r="ASE47" s="7"/>
      <c r="ASF47" s="7"/>
      <c r="ASG47" s="7"/>
      <c r="ASH47" s="7"/>
      <c r="ASI47" s="7"/>
      <c r="ASJ47" s="7"/>
      <c r="ASK47" s="7"/>
      <c r="ASL47" s="7"/>
      <c r="ASM47" s="7"/>
      <c r="ASN47" s="7"/>
      <c r="ASO47" s="7"/>
      <c r="ASP47" s="7"/>
      <c r="ASQ47" s="7"/>
      <c r="ASR47" s="7"/>
      <c r="ASS47" s="7"/>
      <c r="AST47" s="7"/>
      <c r="ASU47" s="7"/>
      <c r="ASV47" s="7"/>
      <c r="ASW47" s="7"/>
      <c r="ASX47" s="7"/>
      <c r="ASY47" s="7"/>
      <c r="ASZ47" s="7"/>
      <c r="ATA47" s="7"/>
      <c r="ATB47" s="7"/>
      <c r="ATC47" s="7"/>
      <c r="ATD47" s="7"/>
      <c r="ATE47" s="7"/>
      <c r="ATF47" s="7"/>
      <c r="ATG47" s="7"/>
      <c r="ATH47" s="7"/>
      <c r="ATI47" s="7"/>
      <c r="ATJ47" s="7"/>
      <c r="ATK47" s="7"/>
      <c r="ATL47" s="7"/>
      <c r="ATM47" s="7"/>
      <c r="ATN47" s="7"/>
      <c r="ATO47" s="7"/>
      <c r="ATP47" s="7"/>
      <c r="ATQ47" s="7"/>
      <c r="ATR47" s="7"/>
      <c r="ATS47" s="7"/>
      <c r="ATT47" s="7"/>
      <c r="ATU47" s="7"/>
      <c r="ATV47" s="7"/>
      <c r="ATW47" s="7"/>
      <c r="ATX47" s="7"/>
      <c r="ATY47" s="7"/>
      <c r="ATZ47" s="7"/>
      <c r="AUA47" s="7"/>
      <c r="AUB47" s="7"/>
      <c r="AUC47" s="7"/>
      <c r="AUD47" s="7"/>
      <c r="AUE47" s="7"/>
      <c r="AUF47" s="7"/>
      <c r="AUG47" s="7"/>
      <c r="AUH47" s="7"/>
      <c r="AUI47" s="7"/>
      <c r="AUJ47" s="7"/>
      <c r="AUK47" s="7"/>
      <c r="AUL47" s="7"/>
      <c r="AUM47" s="7"/>
      <c r="AUN47" s="7"/>
      <c r="AUO47" s="7"/>
      <c r="AUP47" s="7"/>
      <c r="AUQ47" s="7"/>
      <c r="AUR47" s="7"/>
      <c r="AUS47" s="7"/>
      <c r="AUT47" s="7"/>
      <c r="AUU47" s="7"/>
      <c r="AUV47" s="7"/>
      <c r="AUW47" s="7"/>
      <c r="AUX47" s="7"/>
      <c r="AUY47" s="7"/>
      <c r="AUZ47" s="7"/>
      <c r="AVA47" s="7"/>
      <c r="AVB47" s="7"/>
      <c r="AVC47" s="7"/>
      <c r="AVD47" s="7"/>
      <c r="AVE47" s="7"/>
      <c r="AVF47" s="7"/>
      <c r="AVG47" s="7"/>
      <c r="AVH47" s="7"/>
      <c r="AVI47" s="7"/>
      <c r="AVJ47" s="7"/>
      <c r="AVK47" s="7"/>
      <c r="AVL47" s="7"/>
      <c r="AVM47" s="7"/>
      <c r="AVN47" s="7"/>
      <c r="AVO47" s="7"/>
      <c r="AVP47" s="7"/>
      <c r="AVQ47" s="7"/>
      <c r="AVR47" s="7"/>
      <c r="AVS47" s="7"/>
      <c r="AVT47" s="7"/>
      <c r="AVU47" s="7"/>
      <c r="AVV47" s="7"/>
      <c r="AVW47" s="7"/>
      <c r="AVX47" s="7"/>
      <c r="AVY47" s="7"/>
      <c r="AVZ47" s="7"/>
      <c r="AWA47" s="7"/>
      <c r="AWB47" s="7"/>
      <c r="AWC47" s="7"/>
      <c r="AWD47" s="7"/>
      <c r="AWE47" s="7"/>
      <c r="AWF47" s="7"/>
      <c r="AWG47" s="7"/>
      <c r="AWH47" s="7"/>
      <c r="AWI47" s="7"/>
      <c r="AWJ47" s="7"/>
      <c r="AWK47" s="7"/>
      <c r="AWL47" s="7"/>
      <c r="AWM47" s="7"/>
      <c r="AWN47" s="7"/>
      <c r="AWO47" s="7"/>
      <c r="AWP47" s="7"/>
      <c r="AWQ47" s="7"/>
      <c r="AWR47" s="7"/>
      <c r="AWS47" s="7"/>
      <c r="AWT47" s="7"/>
      <c r="AWU47" s="7"/>
      <c r="AWV47" s="7"/>
    </row>
    <row r="48" spans="1:1296" ht="18.75" x14ac:dyDescent="0.25">
      <c r="A48" s="1" t="s">
        <v>86</v>
      </c>
      <c r="B48" s="25">
        <v>95</v>
      </c>
      <c r="C48" s="20">
        <f>B48*C51/B51</f>
        <v>162.694635193133</v>
      </c>
    </row>
    <row r="49" spans="1:1296" ht="18.75" x14ac:dyDescent="0.25">
      <c r="A49" s="1" t="s">
        <v>87</v>
      </c>
      <c r="B49" s="25">
        <v>95</v>
      </c>
      <c r="C49" s="20">
        <f>B49*C51/B51</f>
        <v>162.694635193133</v>
      </c>
    </row>
    <row r="50" spans="1:1296" ht="18.75" x14ac:dyDescent="0.25">
      <c r="A50" s="1" t="s">
        <v>88</v>
      </c>
      <c r="B50" s="25">
        <v>43</v>
      </c>
      <c r="C50" s="20">
        <f>B50*C51/B51</f>
        <v>73.640729613733896</v>
      </c>
    </row>
    <row r="51" spans="1:1296" s="5" customFormat="1" ht="18.75" x14ac:dyDescent="0.25">
      <c r="A51" s="4"/>
      <c r="B51" s="26">
        <f>SUM(B48:B50)</f>
        <v>233</v>
      </c>
      <c r="C51" s="21">
        <v>399.02999999999992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  <c r="AMK51" s="7"/>
      <c r="AML51" s="7"/>
      <c r="AMM51" s="7"/>
      <c r="AMN51" s="7"/>
      <c r="AMO51" s="7"/>
      <c r="AMP51" s="7"/>
      <c r="AMQ51" s="7"/>
      <c r="AMR51" s="7"/>
      <c r="AMS51" s="7"/>
      <c r="AMT51" s="7"/>
      <c r="AMU51" s="7"/>
      <c r="AMV51" s="7"/>
      <c r="AMW51" s="7"/>
      <c r="AMX51" s="7"/>
      <c r="AMY51" s="7"/>
      <c r="AMZ51" s="7"/>
      <c r="ANA51" s="7"/>
      <c r="ANB51" s="7"/>
      <c r="ANC51" s="7"/>
      <c r="AND51" s="7"/>
      <c r="ANE51" s="7"/>
      <c r="ANF51" s="7"/>
      <c r="ANG51" s="7"/>
      <c r="ANH51" s="7"/>
      <c r="ANI51" s="7"/>
      <c r="ANJ51" s="7"/>
      <c r="ANK51" s="7"/>
      <c r="ANL51" s="7"/>
      <c r="ANM51" s="7"/>
      <c r="ANN51" s="7"/>
      <c r="ANO51" s="7"/>
      <c r="ANP51" s="7"/>
      <c r="ANQ51" s="7"/>
      <c r="ANR51" s="7"/>
      <c r="ANS51" s="7"/>
      <c r="ANT51" s="7"/>
      <c r="ANU51" s="7"/>
      <c r="ANV51" s="7"/>
      <c r="ANW51" s="7"/>
      <c r="ANX51" s="7"/>
      <c r="ANY51" s="7"/>
      <c r="ANZ51" s="7"/>
      <c r="AOA51" s="7"/>
      <c r="AOB51" s="7"/>
      <c r="AOC51" s="7"/>
      <c r="AOD51" s="7"/>
      <c r="AOE51" s="7"/>
      <c r="AOF51" s="7"/>
      <c r="AOG51" s="7"/>
      <c r="AOH51" s="7"/>
      <c r="AOI51" s="7"/>
      <c r="AOJ51" s="7"/>
      <c r="AOK51" s="7"/>
      <c r="AOL51" s="7"/>
      <c r="AOM51" s="7"/>
      <c r="AON51" s="7"/>
      <c r="AOO51" s="7"/>
      <c r="AOP51" s="7"/>
      <c r="AOQ51" s="7"/>
      <c r="AOR51" s="7"/>
      <c r="AOS51" s="7"/>
      <c r="AOT51" s="7"/>
      <c r="AOU51" s="7"/>
      <c r="AOV51" s="7"/>
      <c r="AOW51" s="7"/>
      <c r="AOX51" s="7"/>
      <c r="AOY51" s="7"/>
      <c r="AOZ51" s="7"/>
      <c r="APA51" s="7"/>
      <c r="APB51" s="7"/>
      <c r="APC51" s="7"/>
      <c r="APD51" s="7"/>
      <c r="APE51" s="7"/>
      <c r="APF51" s="7"/>
      <c r="APG51" s="7"/>
      <c r="APH51" s="7"/>
      <c r="API51" s="7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7"/>
      <c r="AQK51" s="7"/>
      <c r="AQL51" s="7"/>
      <c r="AQM51" s="7"/>
      <c r="AQN51" s="7"/>
      <c r="AQO51" s="7"/>
      <c r="AQP51" s="7"/>
      <c r="AQQ51" s="7"/>
      <c r="AQR51" s="7"/>
      <c r="AQS51" s="7"/>
      <c r="AQT51" s="7"/>
      <c r="AQU51" s="7"/>
      <c r="AQV51" s="7"/>
      <c r="AQW51" s="7"/>
      <c r="AQX51" s="7"/>
      <c r="AQY51" s="7"/>
      <c r="AQZ51" s="7"/>
      <c r="ARA51" s="7"/>
      <c r="ARB51" s="7"/>
      <c r="ARC51" s="7"/>
      <c r="ARD51" s="7"/>
      <c r="ARE51" s="7"/>
      <c r="ARF51" s="7"/>
      <c r="ARG51" s="7"/>
      <c r="ARH51" s="7"/>
      <c r="ARI51" s="7"/>
      <c r="ARJ51" s="7"/>
      <c r="ARK51" s="7"/>
      <c r="ARL51" s="7"/>
      <c r="ARM51" s="7"/>
      <c r="ARN51" s="7"/>
      <c r="ARO51" s="7"/>
      <c r="ARP51" s="7"/>
      <c r="ARQ51" s="7"/>
      <c r="ARR51" s="7"/>
      <c r="ARS51" s="7"/>
      <c r="ART51" s="7"/>
      <c r="ARU51" s="7"/>
      <c r="ARV51" s="7"/>
      <c r="ARW51" s="7"/>
      <c r="ARX51" s="7"/>
      <c r="ARY51" s="7"/>
      <c r="ARZ51" s="7"/>
      <c r="ASA51" s="7"/>
      <c r="ASB51" s="7"/>
      <c r="ASC51" s="7"/>
      <c r="ASD51" s="7"/>
      <c r="ASE51" s="7"/>
      <c r="ASF51" s="7"/>
      <c r="ASG51" s="7"/>
      <c r="ASH51" s="7"/>
      <c r="ASI51" s="7"/>
      <c r="ASJ51" s="7"/>
      <c r="ASK51" s="7"/>
      <c r="ASL51" s="7"/>
      <c r="ASM51" s="7"/>
      <c r="ASN51" s="7"/>
      <c r="ASO51" s="7"/>
      <c r="ASP51" s="7"/>
      <c r="ASQ51" s="7"/>
      <c r="ASR51" s="7"/>
      <c r="ASS51" s="7"/>
      <c r="AST51" s="7"/>
      <c r="ASU51" s="7"/>
      <c r="ASV51" s="7"/>
      <c r="ASW51" s="7"/>
      <c r="ASX51" s="7"/>
      <c r="ASY51" s="7"/>
      <c r="ASZ51" s="7"/>
      <c r="ATA51" s="7"/>
      <c r="ATB51" s="7"/>
      <c r="ATC51" s="7"/>
      <c r="ATD51" s="7"/>
      <c r="ATE51" s="7"/>
      <c r="ATF51" s="7"/>
      <c r="ATG51" s="7"/>
      <c r="ATH51" s="7"/>
      <c r="ATI51" s="7"/>
      <c r="ATJ51" s="7"/>
      <c r="ATK51" s="7"/>
      <c r="ATL51" s="7"/>
      <c r="ATM51" s="7"/>
      <c r="ATN51" s="7"/>
      <c r="ATO51" s="7"/>
      <c r="ATP51" s="7"/>
      <c r="ATQ51" s="7"/>
      <c r="ATR51" s="7"/>
      <c r="ATS51" s="7"/>
      <c r="ATT51" s="7"/>
      <c r="ATU51" s="7"/>
      <c r="ATV51" s="7"/>
      <c r="ATW51" s="7"/>
      <c r="ATX51" s="7"/>
      <c r="ATY51" s="7"/>
      <c r="ATZ51" s="7"/>
      <c r="AUA51" s="7"/>
      <c r="AUB51" s="7"/>
      <c r="AUC51" s="7"/>
      <c r="AUD51" s="7"/>
      <c r="AUE51" s="7"/>
      <c r="AUF51" s="7"/>
      <c r="AUG51" s="7"/>
      <c r="AUH51" s="7"/>
      <c r="AUI51" s="7"/>
      <c r="AUJ51" s="7"/>
      <c r="AUK51" s="7"/>
      <c r="AUL51" s="7"/>
      <c r="AUM51" s="7"/>
      <c r="AUN51" s="7"/>
      <c r="AUO51" s="7"/>
      <c r="AUP51" s="7"/>
      <c r="AUQ51" s="7"/>
      <c r="AUR51" s="7"/>
      <c r="AUS51" s="7"/>
      <c r="AUT51" s="7"/>
      <c r="AUU51" s="7"/>
      <c r="AUV51" s="7"/>
      <c r="AUW51" s="7"/>
      <c r="AUX51" s="7"/>
      <c r="AUY51" s="7"/>
      <c r="AUZ51" s="7"/>
      <c r="AVA51" s="7"/>
      <c r="AVB51" s="7"/>
      <c r="AVC51" s="7"/>
      <c r="AVD51" s="7"/>
      <c r="AVE51" s="7"/>
      <c r="AVF51" s="7"/>
      <c r="AVG51" s="7"/>
      <c r="AVH51" s="7"/>
      <c r="AVI51" s="7"/>
      <c r="AVJ51" s="7"/>
      <c r="AVK51" s="7"/>
      <c r="AVL51" s="7"/>
      <c r="AVM51" s="7"/>
      <c r="AVN51" s="7"/>
      <c r="AVO51" s="7"/>
      <c r="AVP51" s="7"/>
      <c r="AVQ51" s="7"/>
      <c r="AVR51" s="7"/>
      <c r="AVS51" s="7"/>
      <c r="AVT51" s="7"/>
      <c r="AVU51" s="7"/>
      <c r="AVV51" s="7"/>
      <c r="AVW51" s="7"/>
      <c r="AVX51" s="7"/>
      <c r="AVY51" s="7"/>
      <c r="AVZ51" s="7"/>
      <c r="AWA51" s="7"/>
      <c r="AWB51" s="7"/>
      <c r="AWC51" s="7"/>
      <c r="AWD51" s="7"/>
      <c r="AWE51" s="7"/>
      <c r="AWF51" s="7"/>
      <c r="AWG51" s="7"/>
      <c r="AWH51" s="7"/>
      <c r="AWI51" s="7"/>
      <c r="AWJ51" s="7"/>
      <c r="AWK51" s="7"/>
      <c r="AWL51" s="7"/>
      <c r="AWM51" s="7"/>
      <c r="AWN51" s="7"/>
      <c r="AWO51" s="7"/>
      <c r="AWP51" s="7"/>
      <c r="AWQ51" s="7"/>
      <c r="AWR51" s="7"/>
      <c r="AWS51" s="7"/>
      <c r="AWT51" s="7"/>
      <c r="AWU51" s="7"/>
      <c r="AWV51" s="7"/>
    </row>
    <row r="52" spans="1:1296" ht="18.75" x14ac:dyDescent="0.25">
      <c r="A52" s="1" t="s">
        <v>19</v>
      </c>
      <c r="B52" s="25">
        <v>112</v>
      </c>
      <c r="C52" s="20">
        <f>B52*C54/B54</f>
        <v>260.913006993007</v>
      </c>
    </row>
    <row r="53" spans="1:1296" ht="18.75" x14ac:dyDescent="0.25">
      <c r="A53" s="1" t="s">
        <v>20</v>
      </c>
      <c r="B53" s="25">
        <v>31</v>
      </c>
      <c r="C53" s="20">
        <f>B53*C54/B54</f>
        <v>72.216993006993007</v>
      </c>
    </row>
    <row r="54" spans="1:1296" s="5" customFormat="1" ht="18.75" x14ac:dyDescent="0.25">
      <c r="A54" s="4"/>
      <c r="B54" s="26">
        <f>SUM(B52:B53)</f>
        <v>143</v>
      </c>
      <c r="C54" s="21">
        <v>333.13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  <c r="AMK54" s="7"/>
      <c r="AML54" s="7"/>
      <c r="AMM54" s="7"/>
      <c r="AMN54" s="7"/>
      <c r="AMO54" s="7"/>
      <c r="AMP54" s="7"/>
      <c r="AMQ54" s="7"/>
      <c r="AMR54" s="7"/>
      <c r="AMS54" s="7"/>
      <c r="AMT54" s="7"/>
      <c r="AMU54" s="7"/>
      <c r="AMV54" s="7"/>
      <c r="AMW54" s="7"/>
      <c r="AMX54" s="7"/>
      <c r="AMY54" s="7"/>
      <c r="AMZ54" s="7"/>
      <c r="ANA54" s="7"/>
      <c r="ANB54" s="7"/>
      <c r="ANC54" s="7"/>
      <c r="AND54" s="7"/>
      <c r="ANE54" s="7"/>
      <c r="ANF54" s="7"/>
      <c r="ANG54" s="7"/>
      <c r="ANH54" s="7"/>
      <c r="ANI54" s="7"/>
      <c r="ANJ54" s="7"/>
      <c r="ANK54" s="7"/>
      <c r="ANL54" s="7"/>
      <c r="ANM54" s="7"/>
      <c r="ANN54" s="7"/>
      <c r="ANO54" s="7"/>
      <c r="ANP54" s="7"/>
      <c r="ANQ54" s="7"/>
      <c r="ANR54" s="7"/>
      <c r="ANS54" s="7"/>
      <c r="ANT54" s="7"/>
      <c r="ANU54" s="7"/>
      <c r="ANV54" s="7"/>
      <c r="ANW54" s="7"/>
      <c r="ANX54" s="7"/>
      <c r="ANY54" s="7"/>
      <c r="ANZ54" s="7"/>
      <c r="AOA54" s="7"/>
      <c r="AOB54" s="7"/>
      <c r="AOC54" s="7"/>
      <c r="AOD54" s="7"/>
      <c r="AOE54" s="7"/>
      <c r="AOF54" s="7"/>
      <c r="AOG54" s="7"/>
      <c r="AOH54" s="7"/>
      <c r="AOI54" s="7"/>
      <c r="AOJ54" s="7"/>
      <c r="AOK54" s="7"/>
      <c r="AOL54" s="7"/>
      <c r="AOM54" s="7"/>
      <c r="AON54" s="7"/>
      <c r="AOO54" s="7"/>
      <c r="AOP54" s="7"/>
      <c r="AOQ54" s="7"/>
      <c r="AOR54" s="7"/>
      <c r="AOS54" s="7"/>
      <c r="AOT54" s="7"/>
      <c r="AOU54" s="7"/>
      <c r="AOV54" s="7"/>
      <c r="AOW54" s="7"/>
      <c r="AOX54" s="7"/>
      <c r="AOY54" s="7"/>
      <c r="AOZ54" s="7"/>
      <c r="APA54" s="7"/>
      <c r="APB54" s="7"/>
      <c r="APC54" s="7"/>
      <c r="APD54" s="7"/>
      <c r="APE54" s="7"/>
      <c r="APF54" s="7"/>
      <c r="APG54" s="7"/>
      <c r="APH54" s="7"/>
      <c r="API54" s="7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7"/>
      <c r="AQK54" s="7"/>
      <c r="AQL54" s="7"/>
      <c r="AQM54" s="7"/>
      <c r="AQN54" s="7"/>
      <c r="AQO54" s="7"/>
      <c r="AQP54" s="7"/>
      <c r="AQQ54" s="7"/>
      <c r="AQR54" s="7"/>
      <c r="AQS54" s="7"/>
      <c r="AQT54" s="7"/>
      <c r="AQU54" s="7"/>
      <c r="AQV54" s="7"/>
      <c r="AQW54" s="7"/>
      <c r="AQX54" s="7"/>
      <c r="AQY54" s="7"/>
      <c r="AQZ54" s="7"/>
      <c r="ARA54" s="7"/>
      <c r="ARB54" s="7"/>
      <c r="ARC54" s="7"/>
      <c r="ARD54" s="7"/>
      <c r="ARE54" s="7"/>
      <c r="ARF54" s="7"/>
      <c r="ARG54" s="7"/>
      <c r="ARH54" s="7"/>
      <c r="ARI54" s="7"/>
      <c r="ARJ54" s="7"/>
      <c r="ARK54" s="7"/>
      <c r="ARL54" s="7"/>
      <c r="ARM54" s="7"/>
      <c r="ARN54" s="7"/>
      <c r="ARO54" s="7"/>
      <c r="ARP54" s="7"/>
      <c r="ARQ54" s="7"/>
      <c r="ARR54" s="7"/>
      <c r="ARS54" s="7"/>
      <c r="ART54" s="7"/>
      <c r="ARU54" s="7"/>
      <c r="ARV54" s="7"/>
      <c r="ARW54" s="7"/>
      <c r="ARX54" s="7"/>
      <c r="ARY54" s="7"/>
      <c r="ARZ54" s="7"/>
      <c r="ASA54" s="7"/>
      <c r="ASB54" s="7"/>
      <c r="ASC54" s="7"/>
      <c r="ASD54" s="7"/>
      <c r="ASE54" s="7"/>
      <c r="ASF54" s="7"/>
      <c r="ASG54" s="7"/>
      <c r="ASH54" s="7"/>
      <c r="ASI54" s="7"/>
      <c r="ASJ54" s="7"/>
      <c r="ASK54" s="7"/>
      <c r="ASL54" s="7"/>
      <c r="ASM54" s="7"/>
      <c r="ASN54" s="7"/>
      <c r="ASO54" s="7"/>
      <c r="ASP54" s="7"/>
      <c r="ASQ54" s="7"/>
      <c r="ASR54" s="7"/>
      <c r="ASS54" s="7"/>
      <c r="AST54" s="7"/>
      <c r="ASU54" s="7"/>
      <c r="ASV54" s="7"/>
      <c r="ASW54" s="7"/>
      <c r="ASX54" s="7"/>
      <c r="ASY54" s="7"/>
      <c r="ASZ54" s="7"/>
      <c r="ATA54" s="7"/>
      <c r="ATB54" s="7"/>
      <c r="ATC54" s="7"/>
      <c r="ATD54" s="7"/>
      <c r="ATE54" s="7"/>
      <c r="ATF54" s="7"/>
      <c r="ATG54" s="7"/>
      <c r="ATH54" s="7"/>
      <c r="ATI54" s="7"/>
      <c r="ATJ54" s="7"/>
      <c r="ATK54" s="7"/>
      <c r="ATL54" s="7"/>
      <c r="ATM54" s="7"/>
      <c r="ATN54" s="7"/>
      <c r="ATO54" s="7"/>
      <c r="ATP54" s="7"/>
      <c r="ATQ54" s="7"/>
      <c r="ATR54" s="7"/>
      <c r="ATS54" s="7"/>
      <c r="ATT54" s="7"/>
      <c r="ATU54" s="7"/>
      <c r="ATV54" s="7"/>
      <c r="ATW54" s="7"/>
      <c r="ATX54" s="7"/>
      <c r="ATY54" s="7"/>
      <c r="ATZ54" s="7"/>
      <c r="AUA54" s="7"/>
      <c r="AUB54" s="7"/>
      <c r="AUC54" s="7"/>
      <c r="AUD54" s="7"/>
      <c r="AUE54" s="7"/>
      <c r="AUF54" s="7"/>
      <c r="AUG54" s="7"/>
      <c r="AUH54" s="7"/>
      <c r="AUI54" s="7"/>
      <c r="AUJ54" s="7"/>
      <c r="AUK54" s="7"/>
      <c r="AUL54" s="7"/>
      <c r="AUM54" s="7"/>
      <c r="AUN54" s="7"/>
      <c r="AUO54" s="7"/>
      <c r="AUP54" s="7"/>
      <c r="AUQ54" s="7"/>
      <c r="AUR54" s="7"/>
      <c r="AUS54" s="7"/>
      <c r="AUT54" s="7"/>
      <c r="AUU54" s="7"/>
      <c r="AUV54" s="7"/>
      <c r="AUW54" s="7"/>
      <c r="AUX54" s="7"/>
      <c r="AUY54" s="7"/>
      <c r="AUZ54" s="7"/>
      <c r="AVA54" s="7"/>
      <c r="AVB54" s="7"/>
      <c r="AVC54" s="7"/>
      <c r="AVD54" s="7"/>
      <c r="AVE54" s="7"/>
      <c r="AVF54" s="7"/>
      <c r="AVG54" s="7"/>
      <c r="AVH54" s="7"/>
      <c r="AVI54" s="7"/>
      <c r="AVJ54" s="7"/>
      <c r="AVK54" s="7"/>
      <c r="AVL54" s="7"/>
      <c r="AVM54" s="7"/>
      <c r="AVN54" s="7"/>
      <c r="AVO54" s="7"/>
      <c r="AVP54" s="7"/>
      <c r="AVQ54" s="7"/>
      <c r="AVR54" s="7"/>
      <c r="AVS54" s="7"/>
      <c r="AVT54" s="7"/>
      <c r="AVU54" s="7"/>
      <c r="AVV54" s="7"/>
      <c r="AVW54" s="7"/>
      <c r="AVX54" s="7"/>
      <c r="AVY54" s="7"/>
      <c r="AVZ54" s="7"/>
      <c r="AWA54" s="7"/>
      <c r="AWB54" s="7"/>
      <c r="AWC54" s="7"/>
      <c r="AWD54" s="7"/>
      <c r="AWE54" s="7"/>
      <c r="AWF54" s="7"/>
      <c r="AWG54" s="7"/>
      <c r="AWH54" s="7"/>
      <c r="AWI54" s="7"/>
      <c r="AWJ54" s="7"/>
      <c r="AWK54" s="7"/>
      <c r="AWL54" s="7"/>
      <c r="AWM54" s="7"/>
      <c r="AWN54" s="7"/>
      <c r="AWO54" s="7"/>
      <c r="AWP54" s="7"/>
      <c r="AWQ54" s="7"/>
      <c r="AWR54" s="7"/>
      <c r="AWS54" s="7"/>
      <c r="AWT54" s="7"/>
      <c r="AWU54" s="7"/>
      <c r="AWV54" s="7"/>
    </row>
    <row r="55" spans="1:1296" ht="18.75" x14ac:dyDescent="0.25">
      <c r="A55" s="1" t="s">
        <v>22</v>
      </c>
      <c r="B55" s="25">
        <v>67</v>
      </c>
      <c r="C55" s="20">
        <f>B55*C57/B57</f>
        <v>152.4388429752066</v>
      </c>
    </row>
    <row r="56" spans="1:1296" ht="18.75" x14ac:dyDescent="0.25">
      <c r="A56" s="1" t="s">
        <v>23</v>
      </c>
      <c r="B56" s="25">
        <v>54</v>
      </c>
      <c r="C56" s="20">
        <f>B56*C57/B57</f>
        <v>122.86115702479337</v>
      </c>
    </row>
    <row r="57" spans="1:1296" s="5" customFormat="1" ht="18.75" x14ac:dyDescent="0.25">
      <c r="A57" s="4"/>
      <c r="B57" s="26">
        <f>SUM(B55:B56)</f>
        <v>121</v>
      </c>
      <c r="C57" s="21">
        <v>275.29999999999995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  <c r="AMK57" s="7"/>
      <c r="AML57" s="7"/>
      <c r="AMM57" s="7"/>
      <c r="AMN57" s="7"/>
      <c r="AMO57" s="7"/>
      <c r="AMP57" s="7"/>
      <c r="AMQ57" s="7"/>
      <c r="AMR57" s="7"/>
      <c r="AMS57" s="7"/>
      <c r="AMT57" s="7"/>
      <c r="AMU57" s="7"/>
      <c r="AMV57" s="7"/>
      <c r="AMW57" s="7"/>
      <c r="AMX57" s="7"/>
      <c r="AMY57" s="7"/>
      <c r="AMZ57" s="7"/>
      <c r="ANA57" s="7"/>
      <c r="ANB57" s="7"/>
      <c r="ANC57" s="7"/>
      <c r="AND57" s="7"/>
      <c r="ANE57" s="7"/>
      <c r="ANF57" s="7"/>
      <c r="ANG57" s="7"/>
      <c r="ANH57" s="7"/>
      <c r="ANI57" s="7"/>
      <c r="ANJ57" s="7"/>
      <c r="ANK57" s="7"/>
      <c r="ANL57" s="7"/>
      <c r="ANM57" s="7"/>
      <c r="ANN57" s="7"/>
      <c r="ANO57" s="7"/>
      <c r="ANP57" s="7"/>
      <c r="ANQ57" s="7"/>
      <c r="ANR57" s="7"/>
      <c r="ANS57" s="7"/>
      <c r="ANT57" s="7"/>
      <c r="ANU57" s="7"/>
      <c r="ANV57" s="7"/>
      <c r="ANW57" s="7"/>
      <c r="ANX57" s="7"/>
      <c r="ANY57" s="7"/>
      <c r="ANZ57" s="7"/>
      <c r="AOA57" s="7"/>
      <c r="AOB57" s="7"/>
      <c r="AOC57" s="7"/>
      <c r="AOD57" s="7"/>
      <c r="AOE57" s="7"/>
      <c r="AOF57" s="7"/>
      <c r="AOG57" s="7"/>
      <c r="AOH57" s="7"/>
      <c r="AOI57" s="7"/>
      <c r="AOJ57" s="7"/>
      <c r="AOK57" s="7"/>
      <c r="AOL57" s="7"/>
      <c r="AOM57" s="7"/>
      <c r="AON57" s="7"/>
      <c r="AOO57" s="7"/>
      <c r="AOP57" s="7"/>
      <c r="AOQ57" s="7"/>
      <c r="AOR57" s="7"/>
      <c r="AOS57" s="7"/>
      <c r="AOT57" s="7"/>
      <c r="AOU57" s="7"/>
      <c r="AOV57" s="7"/>
      <c r="AOW57" s="7"/>
      <c r="AOX57" s="7"/>
      <c r="AOY57" s="7"/>
      <c r="AOZ57" s="7"/>
      <c r="APA57" s="7"/>
      <c r="APB57" s="7"/>
      <c r="APC57" s="7"/>
      <c r="APD57" s="7"/>
      <c r="APE57" s="7"/>
      <c r="APF57" s="7"/>
      <c r="APG57" s="7"/>
      <c r="APH57" s="7"/>
      <c r="API57" s="7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7"/>
      <c r="AQH57" s="7"/>
      <c r="AQI57" s="7"/>
      <c r="AQJ57" s="7"/>
      <c r="AQK57" s="7"/>
      <c r="AQL57" s="7"/>
      <c r="AQM57" s="7"/>
      <c r="AQN57" s="7"/>
      <c r="AQO57" s="7"/>
      <c r="AQP57" s="7"/>
      <c r="AQQ57" s="7"/>
      <c r="AQR57" s="7"/>
      <c r="AQS57" s="7"/>
      <c r="AQT57" s="7"/>
      <c r="AQU57" s="7"/>
      <c r="AQV57" s="7"/>
      <c r="AQW57" s="7"/>
      <c r="AQX57" s="7"/>
      <c r="AQY57" s="7"/>
      <c r="AQZ57" s="7"/>
      <c r="ARA57" s="7"/>
      <c r="ARB57" s="7"/>
      <c r="ARC57" s="7"/>
      <c r="ARD57" s="7"/>
      <c r="ARE57" s="7"/>
      <c r="ARF57" s="7"/>
      <c r="ARG57" s="7"/>
      <c r="ARH57" s="7"/>
      <c r="ARI57" s="7"/>
      <c r="ARJ57" s="7"/>
      <c r="ARK57" s="7"/>
      <c r="ARL57" s="7"/>
      <c r="ARM57" s="7"/>
      <c r="ARN57" s="7"/>
      <c r="ARO57" s="7"/>
      <c r="ARP57" s="7"/>
      <c r="ARQ57" s="7"/>
      <c r="ARR57" s="7"/>
      <c r="ARS57" s="7"/>
      <c r="ART57" s="7"/>
      <c r="ARU57" s="7"/>
      <c r="ARV57" s="7"/>
      <c r="ARW57" s="7"/>
      <c r="ARX57" s="7"/>
      <c r="ARY57" s="7"/>
      <c r="ARZ57" s="7"/>
      <c r="ASA57" s="7"/>
      <c r="ASB57" s="7"/>
      <c r="ASC57" s="7"/>
      <c r="ASD57" s="7"/>
      <c r="ASE57" s="7"/>
      <c r="ASF57" s="7"/>
      <c r="ASG57" s="7"/>
      <c r="ASH57" s="7"/>
      <c r="ASI57" s="7"/>
      <c r="ASJ57" s="7"/>
      <c r="ASK57" s="7"/>
      <c r="ASL57" s="7"/>
      <c r="ASM57" s="7"/>
      <c r="ASN57" s="7"/>
      <c r="ASO57" s="7"/>
      <c r="ASP57" s="7"/>
      <c r="ASQ57" s="7"/>
      <c r="ASR57" s="7"/>
      <c r="ASS57" s="7"/>
      <c r="AST57" s="7"/>
      <c r="ASU57" s="7"/>
      <c r="ASV57" s="7"/>
      <c r="ASW57" s="7"/>
      <c r="ASX57" s="7"/>
      <c r="ASY57" s="7"/>
      <c r="ASZ57" s="7"/>
      <c r="ATA57" s="7"/>
      <c r="ATB57" s="7"/>
      <c r="ATC57" s="7"/>
      <c r="ATD57" s="7"/>
      <c r="ATE57" s="7"/>
      <c r="ATF57" s="7"/>
      <c r="ATG57" s="7"/>
      <c r="ATH57" s="7"/>
      <c r="ATI57" s="7"/>
      <c r="ATJ57" s="7"/>
      <c r="ATK57" s="7"/>
      <c r="ATL57" s="7"/>
      <c r="ATM57" s="7"/>
      <c r="ATN57" s="7"/>
      <c r="ATO57" s="7"/>
      <c r="ATP57" s="7"/>
      <c r="ATQ57" s="7"/>
      <c r="ATR57" s="7"/>
      <c r="ATS57" s="7"/>
      <c r="ATT57" s="7"/>
      <c r="ATU57" s="7"/>
      <c r="ATV57" s="7"/>
      <c r="ATW57" s="7"/>
      <c r="ATX57" s="7"/>
      <c r="ATY57" s="7"/>
      <c r="ATZ57" s="7"/>
      <c r="AUA57" s="7"/>
      <c r="AUB57" s="7"/>
      <c r="AUC57" s="7"/>
      <c r="AUD57" s="7"/>
      <c r="AUE57" s="7"/>
      <c r="AUF57" s="7"/>
      <c r="AUG57" s="7"/>
      <c r="AUH57" s="7"/>
      <c r="AUI57" s="7"/>
      <c r="AUJ57" s="7"/>
      <c r="AUK57" s="7"/>
      <c r="AUL57" s="7"/>
      <c r="AUM57" s="7"/>
      <c r="AUN57" s="7"/>
      <c r="AUO57" s="7"/>
      <c r="AUP57" s="7"/>
      <c r="AUQ57" s="7"/>
      <c r="AUR57" s="7"/>
      <c r="AUS57" s="7"/>
      <c r="AUT57" s="7"/>
      <c r="AUU57" s="7"/>
      <c r="AUV57" s="7"/>
      <c r="AUW57" s="7"/>
      <c r="AUX57" s="7"/>
      <c r="AUY57" s="7"/>
      <c r="AUZ57" s="7"/>
      <c r="AVA57" s="7"/>
      <c r="AVB57" s="7"/>
      <c r="AVC57" s="7"/>
      <c r="AVD57" s="7"/>
      <c r="AVE57" s="7"/>
      <c r="AVF57" s="7"/>
      <c r="AVG57" s="7"/>
      <c r="AVH57" s="7"/>
      <c r="AVI57" s="7"/>
      <c r="AVJ57" s="7"/>
      <c r="AVK57" s="7"/>
      <c r="AVL57" s="7"/>
      <c r="AVM57" s="7"/>
      <c r="AVN57" s="7"/>
      <c r="AVO57" s="7"/>
      <c r="AVP57" s="7"/>
      <c r="AVQ57" s="7"/>
      <c r="AVR57" s="7"/>
      <c r="AVS57" s="7"/>
      <c r="AVT57" s="7"/>
      <c r="AVU57" s="7"/>
      <c r="AVV57" s="7"/>
      <c r="AVW57" s="7"/>
      <c r="AVX57" s="7"/>
      <c r="AVY57" s="7"/>
      <c r="AVZ57" s="7"/>
      <c r="AWA57" s="7"/>
      <c r="AWB57" s="7"/>
      <c r="AWC57" s="7"/>
      <c r="AWD57" s="7"/>
      <c r="AWE57" s="7"/>
      <c r="AWF57" s="7"/>
      <c r="AWG57" s="7"/>
      <c r="AWH57" s="7"/>
      <c r="AWI57" s="7"/>
      <c r="AWJ57" s="7"/>
      <c r="AWK57" s="7"/>
      <c r="AWL57" s="7"/>
      <c r="AWM57" s="7"/>
      <c r="AWN57" s="7"/>
      <c r="AWO57" s="7"/>
      <c r="AWP57" s="7"/>
      <c r="AWQ57" s="7"/>
      <c r="AWR57" s="7"/>
      <c r="AWS57" s="7"/>
      <c r="AWT57" s="7"/>
      <c r="AWU57" s="7"/>
      <c r="AWV57" s="7"/>
    </row>
    <row r="58" spans="1:1296" s="6" customFormat="1" ht="18.75" x14ac:dyDescent="0.25">
      <c r="A58" s="1" t="s">
        <v>133</v>
      </c>
      <c r="B58" s="27"/>
      <c r="C58" s="22"/>
    </row>
    <row r="59" spans="1:1296" s="6" customFormat="1" ht="18.75" x14ac:dyDescent="0.25">
      <c r="A59" s="1" t="s">
        <v>136</v>
      </c>
      <c r="B59" s="27">
        <v>20</v>
      </c>
      <c r="C59" s="22">
        <f>B59*C62/B62</f>
        <v>31.181944444444451</v>
      </c>
    </row>
    <row r="60" spans="1:1296" s="6" customFormat="1" ht="18.75" x14ac:dyDescent="0.25">
      <c r="A60" s="1" t="s">
        <v>134</v>
      </c>
      <c r="B60" s="27">
        <v>31</v>
      </c>
      <c r="C60" s="22">
        <f>B60*C62/B62</f>
        <v>48.332013888888895</v>
      </c>
    </row>
    <row r="61" spans="1:1296" s="6" customFormat="1" ht="18.75" x14ac:dyDescent="0.25">
      <c r="A61" s="1" t="s">
        <v>135</v>
      </c>
      <c r="B61" s="27">
        <v>93</v>
      </c>
      <c r="C61" s="22">
        <f>B61*C62/B62</f>
        <v>144.99604166666666</v>
      </c>
    </row>
    <row r="62" spans="1:1296" s="7" customFormat="1" ht="18.75" x14ac:dyDescent="0.25">
      <c r="A62" s="4"/>
      <c r="B62" s="26">
        <f>SUM(B58:B61)</f>
        <v>144</v>
      </c>
      <c r="C62" s="21">
        <v>224.51000000000002</v>
      </c>
    </row>
    <row r="63" spans="1:1296" ht="18.75" x14ac:dyDescent="0.25">
      <c r="A63" s="1" t="s">
        <v>70</v>
      </c>
      <c r="B63" s="25">
        <v>1054</v>
      </c>
      <c r="C63" s="20">
        <f>B63*C65/B65</f>
        <v>2204.3454110482817</v>
      </c>
      <c r="F63" s="30"/>
    </row>
    <row r="64" spans="1:1296" ht="18.75" x14ac:dyDescent="0.25">
      <c r="A64" s="1" t="s">
        <v>78</v>
      </c>
      <c r="B64" s="25">
        <v>1245</v>
      </c>
      <c r="C64" s="20">
        <f>B64*C65/B65</f>
        <v>2603.804588951718</v>
      </c>
      <c r="F64" s="30"/>
    </row>
    <row r="65" spans="1:1296" s="5" customFormat="1" ht="18.75" x14ac:dyDescent="0.25">
      <c r="A65" s="4"/>
      <c r="B65" s="26">
        <f>SUM(B63:B64)</f>
        <v>2299</v>
      </c>
      <c r="C65" s="21">
        <f>724.45+324.65+502.65+694.65+756.37+467.17+477.42+860.79</f>
        <v>4808.1499999999996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  <c r="AMA65" s="7"/>
      <c r="AMB65" s="7"/>
      <c r="AMC65" s="7"/>
      <c r="AMD65" s="7"/>
      <c r="AME65" s="7"/>
      <c r="AMF65" s="7"/>
      <c r="AMG65" s="7"/>
      <c r="AMH65" s="7"/>
      <c r="AMI65" s="7"/>
      <c r="AMJ65" s="7"/>
      <c r="AMK65" s="7"/>
      <c r="AML65" s="7"/>
      <c r="AMM65" s="7"/>
      <c r="AMN65" s="7"/>
      <c r="AMO65" s="7"/>
      <c r="AMP65" s="7"/>
      <c r="AMQ65" s="7"/>
      <c r="AMR65" s="7"/>
      <c r="AMS65" s="7"/>
      <c r="AMT65" s="7"/>
      <c r="AMU65" s="7"/>
      <c r="AMV65" s="7"/>
      <c r="AMW65" s="7"/>
      <c r="AMX65" s="7"/>
      <c r="AMY65" s="7"/>
      <c r="AMZ65" s="7"/>
      <c r="ANA65" s="7"/>
      <c r="ANB65" s="7"/>
      <c r="ANC65" s="7"/>
      <c r="AND65" s="7"/>
      <c r="ANE65" s="7"/>
      <c r="ANF65" s="7"/>
      <c r="ANG65" s="7"/>
      <c r="ANH65" s="7"/>
      <c r="ANI65" s="7"/>
      <c r="ANJ65" s="7"/>
      <c r="ANK65" s="7"/>
      <c r="ANL65" s="7"/>
      <c r="ANM65" s="7"/>
      <c r="ANN65" s="7"/>
      <c r="ANO65" s="7"/>
      <c r="ANP65" s="7"/>
      <c r="ANQ65" s="7"/>
      <c r="ANR65" s="7"/>
      <c r="ANS65" s="7"/>
      <c r="ANT65" s="7"/>
      <c r="ANU65" s="7"/>
      <c r="ANV65" s="7"/>
      <c r="ANW65" s="7"/>
      <c r="ANX65" s="7"/>
      <c r="ANY65" s="7"/>
      <c r="ANZ65" s="7"/>
      <c r="AOA65" s="7"/>
      <c r="AOB65" s="7"/>
      <c r="AOC65" s="7"/>
      <c r="AOD65" s="7"/>
      <c r="AOE65" s="7"/>
      <c r="AOF65" s="7"/>
      <c r="AOG65" s="7"/>
      <c r="AOH65" s="7"/>
      <c r="AOI65" s="7"/>
      <c r="AOJ65" s="7"/>
      <c r="AOK65" s="7"/>
      <c r="AOL65" s="7"/>
      <c r="AOM65" s="7"/>
      <c r="AON65" s="7"/>
      <c r="AOO65" s="7"/>
      <c r="AOP65" s="7"/>
      <c r="AOQ65" s="7"/>
      <c r="AOR65" s="7"/>
      <c r="AOS65" s="7"/>
      <c r="AOT65" s="7"/>
      <c r="AOU65" s="7"/>
      <c r="AOV65" s="7"/>
      <c r="AOW65" s="7"/>
      <c r="AOX65" s="7"/>
      <c r="AOY65" s="7"/>
      <c r="AOZ65" s="7"/>
      <c r="APA65" s="7"/>
      <c r="APB65" s="7"/>
      <c r="APC65" s="7"/>
      <c r="APD65" s="7"/>
      <c r="APE65" s="7"/>
      <c r="APF65" s="7"/>
      <c r="APG65" s="7"/>
      <c r="APH65" s="7"/>
      <c r="API65" s="7"/>
      <c r="APJ65" s="7"/>
      <c r="APK65" s="7"/>
      <c r="APL65" s="7"/>
      <c r="APM65" s="7"/>
      <c r="APN65" s="7"/>
      <c r="APO65" s="7"/>
      <c r="APP65" s="7"/>
      <c r="APQ65" s="7"/>
      <c r="APR65" s="7"/>
      <c r="APS65" s="7"/>
      <c r="APT65" s="7"/>
      <c r="APU65" s="7"/>
      <c r="APV65" s="7"/>
      <c r="APW65" s="7"/>
      <c r="APX65" s="7"/>
      <c r="APY65" s="7"/>
      <c r="APZ65" s="7"/>
      <c r="AQA65" s="7"/>
      <c r="AQB65" s="7"/>
      <c r="AQC65" s="7"/>
      <c r="AQD65" s="7"/>
      <c r="AQE65" s="7"/>
      <c r="AQF65" s="7"/>
      <c r="AQG65" s="7"/>
      <c r="AQH65" s="7"/>
      <c r="AQI65" s="7"/>
      <c r="AQJ65" s="7"/>
      <c r="AQK65" s="7"/>
      <c r="AQL65" s="7"/>
      <c r="AQM65" s="7"/>
      <c r="AQN65" s="7"/>
      <c r="AQO65" s="7"/>
      <c r="AQP65" s="7"/>
      <c r="AQQ65" s="7"/>
      <c r="AQR65" s="7"/>
      <c r="AQS65" s="7"/>
      <c r="AQT65" s="7"/>
      <c r="AQU65" s="7"/>
      <c r="AQV65" s="7"/>
      <c r="AQW65" s="7"/>
      <c r="AQX65" s="7"/>
      <c r="AQY65" s="7"/>
      <c r="AQZ65" s="7"/>
      <c r="ARA65" s="7"/>
      <c r="ARB65" s="7"/>
      <c r="ARC65" s="7"/>
      <c r="ARD65" s="7"/>
      <c r="ARE65" s="7"/>
      <c r="ARF65" s="7"/>
      <c r="ARG65" s="7"/>
      <c r="ARH65" s="7"/>
      <c r="ARI65" s="7"/>
      <c r="ARJ65" s="7"/>
      <c r="ARK65" s="7"/>
      <c r="ARL65" s="7"/>
      <c r="ARM65" s="7"/>
      <c r="ARN65" s="7"/>
      <c r="ARO65" s="7"/>
      <c r="ARP65" s="7"/>
      <c r="ARQ65" s="7"/>
      <c r="ARR65" s="7"/>
      <c r="ARS65" s="7"/>
      <c r="ART65" s="7"/>
      <c r="ARU65" s="7"/>
      <c r="ARV65" s="7"/>
      <c r="ARW65" s="7"/>
      <c r="ARX65" s="7"/>
      <c r="ARY65" s="7"/>
      <c r="ARZ65" s="7"/>
      <c r="ASA65" s="7"/>
      <c r="ASB65" s="7"/>
      <c r="ASC65" s="7"/>
      <c r="ASD65" s="7"/>
      <c r="ASE65" s="7"/>
      <c r="ASF65" s="7"/>
      <c r="ASG65" s="7"/>
      <c r="ASH65" s="7"/>
      <c r="ASI65" s="7"/>
      <c r="ASJ65" s="7"/>
      <c r="ASK65" s="7"/>
      <c r="ASL65" s="7"/>
      <c r="ASM65" s="7"/>
      <c r="ASN65" s="7"/>
      <c r="ASO65" s="7"/>
      <c r="ASP65" s="7"/>
      <c r="ASQ65" s="7"/>
      <c r="ASR65" s="7"/>
      <c r="ASS65" s="7"/>
      <c r="AST65" s="7"/>
      <c r="ASU65" s="7"/>
      <c r="ASV65" s="7"/>
      <c r="ASW65" s="7"/>
      <c r="ASX65" s="7"/>
      <c r="ASY65" s="7"/>
      <c r="ASZ65" s="7"/>
      <c r="ATA65" s="7"/>
      <c r="ATB65" s="7"/>
      <c r="ATC65" s="7"/>
      <c r="ATD65" s="7"/>
      <c r="ATE65" s="7"/>
      <c r="ATF65" s="7"/>
      <c r="ATG65" s="7"/>
      <c r="ATH65" s="7"/>
      <c r="ATI65" s="7"/>
      <c r="ATJ65" s="7"/>
      <c r="ATK65" s="7"/>
      <c r="ATL65" s="7"/>
      <c r="ATM65" s="7"/>
      <c r="ATN65" s="7"/>
      <c r="ATO65" s="7"/>
      <c r="ATP65" s="7"/>
      <c r="ATQ65" s="7"/>
      <c r="ATR65" s="7"/>
      <c r="ATS65" s="7"/>
      <c r="ATT65" s="7"/>
      <c r="ATU65" s="7"/>
      <c r="ATV65" s="7"/>
      <c r="ATW65" s="7"/>
      <c r="ATX65" s="7"/>
      <c r="ATY65" s="7"/>
      <c r="ATZ65" s="7"/>
      <c r="AUA65" s="7"/>
      <c r="AUB65" s="7"/>
      <c r="AUC65" s="7"/>
      <c r="AUD65" s="7"/>
      <c r="AUE65" s="7"/>
      <c r="AUF65" s="7"/>
      <c r="AUG65" s="7"/>
      <c r="AUH65" s="7"/>
      <c r="AUI65" s="7"/>
      <c r="AUJ65" s="7"/>
      <c r="AUK65" s="7"/>
      <c r="AUL65" s="7"/>
      <c r="AUM65" s="7"/>
      <c r="AUN65" s="7"/>
      <c r="AUO65" s="7"/>
      <c r="AUP65" s="7"/>
      <c r="AUQ65" s="7"/>
      <c r="AUR65" s="7"/>
      <c r="AUS65" s="7"/>
      <c r="AUT65" s="7"/>
      <c r="AUU65" s="7"/>
      <c r="AUV65" s="7"/>
      <c r="AUW65" s="7"/>
      <c r="AUX65" s="7"/>
      <c r="AUY65" s="7"/>
      <c r="AUZ65" s="7"/>
      <c r="AVA65" s="7"/>
      <c r="AVB65" s="7"/>
      <c r="AVC65" s="7"/>
      <c r="AVD65" s="7"/>
      <c r="AVE65" s="7"/>
      <c r="AVF65" s="7"/>
      <c r="AVG65" s="7"/>
      <c r="AVH65" s="7"/>
      <c r="AVI65" s="7"/>
      <c r="AVJ65" s="7"/>
      <c r="AVK65" s="7"/>
      <c r="AVL65" s="7"/>
      <c r="AVM65" s="7"/>
      <c r="AVN65" s="7"/>
      <c r="AVO65" s="7"/>
      <c r="AVP65" s="7"/>
      <c r="AVQ65" s="7"/>
      <c r="AVR65" s="7"/>
      <c r="AVS65" s="7"/>
      <c r="AVT65" s="7"/>
      <c r="AVU65" s="7"/>
      <c r="AVV65" s="7"/>
      <c r="AVW65" s="7"/>
      <c r="AVX65" s="7"/>
      <c r="AVY65" s="7"/>
      <c r="AVZ65" s="7"/>
      <c r="AWA65" s="7"/>
      <c r="AWB65" s="7"/>
      <c r="AWC65" s="7"/>
      <c r="AWD65" s="7"/>
      <c r="AWE65" s="7"/>
      <c r="AWF65" s="7"/>
      <c r="AWG65" s="7"/>
      <c r="AWH65" s="7"/>
      <c r="AWI65" s="7"/>
      <c r="AWJ65" s="7"/>
      <c r="AWK65" s="7"/>
      <c r="AWL65" s="7"/>
      <c r="AWM65" s="7"/>
      <c r="AWN65" s="7"/>
      <c r="AWO65" s="7"/>
      <c r="AWP65" s="7"/>
      <c r="AWQ65" s="7"/>
      <c r="AWR65" s="7"/>
      <c r="AWS65" s="7"/>
      <c r="AWT65" s="7"/>
      <c r="AWU65" s="7"/>
      <c r="AWV65" s="7"/>
    </row>
    <row r="66" spans="1:1296" ht="18.75" x14ac:dyDescent="0.25">
      <c r="A66" s="1" t="s">
        <v>96</v>
      </c>
      <c r="B66" s="25">
        <v>1394</v>
      </c>
      <c r="C66" s="20">
        <f>B66*C69/B69</f>
        <v>2662.7193618116312</v>
      </c>
    </row>
    <row r="67" spans="1:1296" ht="18.75" x14ac:dyDescent="0.25">
      <c r="A67" s="1" t="s">
        <v>97</v>
      </c>
      <c r="B67" s="25">
        <v>272</v>
      </c>
      <c r="C67" s="20">
        <f>B67*C69/B69</f>
        <v>519.55499742665972</v>
      </c>
    </row>
    <row r="68" spans="1:1296" ht="20.25" customHeight="1" x14ac:dyDescent="0.25">
      <c r="A68" s="1" t="s">
        <v>98</v>
      </c>
      <c r="B68" s="25">
        <v>277</v>
      </c>
      <c r="C68" s="20">
        <f>B68*C69/B69</f>
        <v>529.10564076170863</v>
      </c>
    </row>
    <row r="69" spans="1:1296" s="5" customFormat="1" ht="18.75" x14ac:dyDescent="0.25">
      <c r="A69" s="4"/>
      <c r="B69" s="26">
        <f>SUM(B66:B68)</f>
        <v>1943</v>
      </c>
      <c r="C69" s="21">
        <f>916.85+486.65+447.95+335.39+376.42+356.03+351.91+440.18</f>
        <v>3711.3799999999997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  <c r="AMK69" s="7"/>
      <c r="AML69" s="7"/>
      <c r="AMM69" s="7"/>
      <c r="AMN69" s="7"/>
      <c r="AMO69" s="7"/>
      <c r="AMP69" s="7"/>
      <c r="AMQ69" s="7"/>
      <c r="AMR69" s="7"/>
      <c r="AMS69" s="7"/>
      <c r="AMT69" s="7"/>
      <c r="AMU69" s="7"/>
      <c r="AMV69" s="7"/>
      <c r="AMW69" s="7"/>
      <c r="AMX69" s="7"/>
      <c r="AMY69" s="7"/>
      <c r="AMZ69" s="7"/>
      <c r="ANA69" s="7"/>
      <c r="ANB69" s="7"/>
      <c r="ANC69" s="7"/>
      <c r="AND69" s="7"/>
      <c r="ANE69" s="7"/>
      <c r="ANF69" s="7"/>
      <c r="ANG69" s="7"/>
      <c r="ANH69" s="7"/>
      <c r="ANI69" s="7"/>
      <c r="ANJ69" s="7"/>
      <c r="ANK69" s="7"/>
      <c r="ANL69" s="7"/>
      <c r="ANM69" s="7"/>
      <c r="ANN69" s="7"/>
      <c r="ANO69" s="7"/>
      <c r="ANP69" s="7"/>
      <c r="ANQ69" s="7"/>
      <c r="ANR69" s="7"/>
      <c r="ANS69" s="7"/>
      <c r="ANT69" s="7"/>
      <c r="ANU69" s="7"/>
      <c r="ANV69" s="7"/>
      <c r="ANW69" s="7"/>
      <c r="ANX69" s="7"/>
      <c r="ANY69" s="7"/>
      <c r="ANZ69" s="7"/>
      <c r="AOA69" s="7"/>
      <c r="AOB69" s="7"/>
      <c r="AOC69" s="7"/>
      <c r="AOD69" s="7"/>
      <c r="AOE69" s="7"/>
      <c r="AOF69" s="7"/>
      <c r="AOG69" s="7"/>
      <c r="AOH69" s="7"/>
      <c r="AOI69" s="7"/>
      <c r="AOJ69" s="7"/>
      <c r="AOK69" s="7"/>
      <c r="AOL69" s="7"/>
      <c r="AOM69" s="7"/>
      <c r="AON69" s="7"/>
      <c r="AOO69" s="7"/>
      <c r="AOP69" s="7"/>
      <c r="AOQ69" s="7"/>
      <c r="AOR69" s="7"/>
      <c r="AOS69" s="7"/>
      <c r="AOT69" s="7"/>
      <c r="AOU69" s="7"/>
      <c r="AOV69" s="7"/>
      <c r="AOW69" s="7"/>
      <c r="AOX69" s="7"/>
      <c r="AOY69" s="7"/>
      <c r="AOZ69" s="7"/>
      <c r="APA69" s="7"/>
      <c r="APB69" s="7"/>
      <c r="APC69" s="7"/>
      <c r="APD69" s="7"/>
      <c r="APE69" s="7"/>
      <c r="APF69" s="7"/>
      <c r="APG69" s="7"/>
      <c r="APH69" s="7"/>
      <c r="API69" s="7"/>
      <c r="APJ69" s="7"/>
      <c r="APK69" s="7"/>
      <c r="APL69" s="7"/>
      <c r="APM69" s="7"/>
      <c r="APN69" s="7"/>
      <c r="APO69" s="7"/>
      <c r="APP69" s="7"/>
      <c r="APQ69" s="7"/>
      <c r="APR69" s="7"/>
      <c r="APS69" s="7"/>
      <c r="APT69" s="7"/>
      <c r="APU69" s="7"/>
      <c r="APV69" s="7"/>
      <c r="APW69" s="7"/>
      <c r="APX69" s="7"/>
      <c r="APY69" s="7"/>
      <c r="APZ69" s="7"/>
      <c r="AQA69" s="7"/>
      <c r="AQB69" s="7"/>
      <c r="AQC69" s="7"/>
      <c r="AQD69" s="7"/>
      <c r="AQE69" s="7"/>
      <c r="AQF69" s="7"/>
      <c r="AQG69" s="7"/>
      <c r="AQH69" s="7"/>
      <c r="AQI69" s="7"/>
      <c r="AQJ69" s="7"/>
      <c r="AQK69" s="7"/>
      <c r="AQL69" s="7"/>
      <c r="AQM69" s="7"/>
      <c r="AQN69" s="7"/>
      <c r="AQO69" s="7"/>
      <c r="AQP69" s="7"/>
      <c r="AQQ69" s="7"/>
      <c r="AQR69" s="7"/>
      <c r="AQS69" s="7"/>
      <c r="AQT69" s="7"/>
      <c r="AQU69" s="7"/>
      <c r="AQV69" s="7"/>
      <c r="AQW69" s="7"/>
      <c r="AQX69" s="7"/>
      <c r="AQY69" s="7"/>
      <c r="AQZ69" s="7"/>
      <c r="ARA69" s="7"/>
      <c r="ARB69" s="7"/>
      <c r="ARC69" s="7"/>
      <c r="ARD69" s="7"/>
      <c r="ARE69" s="7"/>
      <c r="ARF69" s="7"/>
      <c r="ARG69" s="7"/>
      <c r="ARH69" s="7"/>
      <c r="ARI69" s="7"/>
      <c r="ARJ69" s="7"/>
      <c r="ARK69" s="7"/>
      <c r="ARL69" s="7"/>
      <c r="ARM69" s="7"/>
      <c r="ARN69" s="7"/>
      <c r="ARO69" s="7"/>
      <c r="ARP69" s="7"/>
      <c r="ARQ69" s="7"/>
      <c r="ARR69" s="7"/>
      <c r="ARS69" s="7"/>
      <c r="ART69" s="7"/>
      <c r="ARU69" s="7"/>
      <c r="ARV69" s="7"/>
      <c r="ARW69" s="7"/>
      <c r="ARX69" s="7"/>
      <c r="ARY69" s="7"/>
      <c r="ARZ69" s="7"/>
      <c r="ASA69" s="7"/>
      <c r="ASB69" s="7"/>
      <c r="ASC69" s="7"/>
      <c r="ASD69" s="7"/>
      <c r="ASE69" s="7"/>
      <c r="ASF69" s="7"/>
      <c r="ASG69" s="7"/>
      <c r="ASH69" s="7"/>
      <c r="ASI69" s="7"/>
      <c r="ASJ69" s="7"/>
      <c r="ASK69" s="7"/>
      <c r="ASL69" s="7"/>
      <c r="ASM69" s="7"/>
      <c r="ASN69" s="7"/>
      <c r="ASO69" s="7"/>
      <c r="ASP69" s="7"/>
      <c r="ASQ69" s="7"/>
      <c r="ASR69" s="7"/>
      <c r="ASS69" s="7"/>
      <c r="AST69" s="7"/>
      <c r="ASU69" s="7"/>
      <c r="ASV69" s="7"/>
      <c r="ASW69" s="7"/>
      <c r="ASX69" s="7"/>
      <c r="ASY69" s="7"/>
      <c r="ASZ69" s="7"/>
      <c r="ATA69" s="7"/>
      <c r="ATB69" s="7"/>
      <c r="ATC69" s="7"/>
      <c r="ATD69" s="7"/>
      <c r="ATE69" s="7"/>
      <c r="ATF69" s="7"/>
      <c r="ATG69" s="7"/>
      <c r="ATH69" s="7"/>
      <c r="ATI69" s="7"/>
      <c r="ATJ69" s="7"/>
      <c r="ATK69" s="7"/>
      <c r="ATL69" s="7"/>
      <c r="ATM69" s="7"/>
      <c r="ATN69" s="7"/>
      <c r="ATO69" s="7"/>
      <c r="ATP69" s="7"/>
      <c r="ATQ69" s="7"/>
      <c r="ATR69" s="7"/>
      <c r="ATS69" s="7"/>
      <c r="ATT69" s="7"/>
      <c r="ATU69" s="7"/>
      <c r="ATV69" s="7"/>
      <c r="ATW69" s="7"/>
      <c r="ATX69" s="7"/>
      <c r="ATY69" s="7"/>
      <c r="ATZ69" s="7"/>
      <c r="AUA69" s="7"/>
      <c r="AUB69" s="7"/>
      <c r="AUC69" s="7"/>
      <c r="AUD69" s="7"/>
      <c r="AUE69" s="7"/>
      <c r="AUF69" s="7"/>
      <c r="AUG69" s="7"/>
      <c r="AUH69" s="7"/>
      <c r="AUI69" s="7"/>
      <c r="AUJ69" s="7"/>
      <c r="AUK69" s="7"/>
      <c r="AUL69" s="7"/>
      <c r="AUM69" s="7"/>
      <c r="AUN69" s="7"/>
      <c r="AUO69" s="7"/>
      <c r="AUP69" s="7"/>
      <c r="AUQ69" s="7"/>
      <c r="AUR69" s="7"/>
      <c r="AUS69" s="7"/>
      <c r="AUT69" s="7"/>
      <c r="AUU69" s="7"/>
      <c r="AUV69" s="7"/>
      <c r="AUW69" s="7"/>
      <c r="AUX69" s="7"/>
      <c r="AUY69" s="7"/>
      <c r="AUZ69" s="7"/>
      <c r="AVA69" s="7"/>
      <c r="AVB69" s="7"/>
      <c r="AVC69" s="7"/>
      <c r="AVD69" s="7"/>
      <c r="AVE69" s="7"/>
      <c r="AVF69" s="7"/>
      <c r="AVG69" s="7"/>
      <c r="AVH69" s="7"/>
      <c r="AVI69" s="7"/>
      <c r="AVJ69" s="7"/>
      <c r="AVK69" s="7"/>
      <c r="AVL69" s="7"/>
      <c r="AVM69" s="7"/>
      <c r="AVN69" s="7"/>
      <c r="AVO69" s="7"/>
      <c r="AVP69" s="7"/>
      <c r="AVQ69" s="7"/>
      <c r="AVR69" s="7"/>
      <c r="AVS69" s="7"/>
      <c r="AVT69" s="7"/>
      <c r="AVU69" s="7"/>
      <c r="AVV69" s="7"/>
      <c r="AVW69" s="7"/>
      <c r="AVX69" s="7"/>
      <c r="AVY69" s="7"/>
      <c r="AVZ69" s="7"/>
      <c r="AWA69" s="7"/>
      <c r="AWB69" s="7"/>
      <c r="AWC69" s="7"/>
      <c r="AWD69" s="7"/>
      <c r="AWE69" s="7"/>
      <c r="AWF69" s="7"/>
      <c r="AWG69" s="7"/>
      <c r="AWH69" s="7"/>
      <c r="AWI69" s="7"/>
      <c r="AWJ69" s="7"/>
      <c r="AWK69" s="7"/>
      <c r="AWL69" s="7"/>
      <c r="AWM69" s="7"/>
      <c r="AWN69" s="7"/>
      <c r="AWO69" s="7"/>
      <c r="AWP69" s="7"/>
      <c r="AWQ69" s="7"/>
      <c r="AWR69" s="7"/>
      <c r="AWS69" s="7"/>
      <c r="AWT69" s="7"/>
      <c r="AWU69" s="7"/>
      <c r="AWV69" s="7"/>
    </row>
    <row r="70" spans="1:1296" ht="18.75" x14ac:dyDescent="0.25">
      <c r="A70" s="1" t="s">
        <v>74</v>
      </c>
      <c r="B70" s="25">
        <v>324</v>
      </c>
      <c r="C70" s="20">
        <f>B70*C74/B74</f>
        <v>596.29698015530641</v>
      </c>
    </row>
    <row r="71" spans="1:1296" ht="18.75" x14ac:dyDescent="0.25">
      <c r="A71" s="1" t="s">
        <v>75</v>
      </c>
      <c r="B71" s="25">
        <v>294</v>
      </c>
      <c r="C71" s="20">
        <f>B71*C74/B74</f>
        <v>541.08429680759286</v>
      </c>
    </row>
    <row r="72" spans="1:1296" ht="18.75" x14ac:dyDescent="0.25">
      <c r="A72" s="1" t="s">
        <v>76</v>
      </c>
      <c r="B72" s="25">
        <v>310</v>
      </c>
      <c r="C72" s="20">
        <f>B72*C74/B74</f>
        <v>570.53106125970669</v>
      </c>
    </row>
    <row r="73" spans="1:1296" ht="18.75" x14ac:dyDescent="0.25">
      <c r="A73" s="1" t="s">
        <v>77</v>
      </c>
      <c r="B73" s="25">
        <v>231</v>
      </c>
      <c r="C73" s="20">
        <f>B73*C74/B74</f>
        <v>425.13766177739433</v>
      </c>
    </row>
    <row r="74" spans="1:1296" s="5" customFormat="1" ht="18.75" x14ac:dyDescent="0.25">
      <c r="A74" s="4"/>
      <c r="B74" s="26">
        <f>SUM(B70:B73)</f>
        <v>1159</v>
      </c>
      <c r="C74" s="21">
        <f>640.74+374.32+566.47+551.52</f>
        <v>2133.0500000000002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  <c r="AFW74" s="7"/>
      <c r="AFX74" s="7"/>
      <c r="AFY74" s="7"/>
      <c r="AFZ74" s="7"/>
      <c r="AGA74" s="7"/>
      <c r="AGB74" s="7"/>
      <c r="AGC74" s="7"/>
      <c r="AGD74" s="7"/>
      <c r="AGE74" s="7"/>
      <c r="AGF74" s="7"/>
      <c r="AGG74" s="7"/>
      <c r="AGH74" s="7"/>
      <c r="AGI74" s="7"/>
      <c r="AGJ74" s="7"/>
      <c r="AGK74" s="7"/>
      <c r="AGL74" s="7"/>
      <c r="AGM74" s="7"/>
      <c r="AGN74" s="7"/>
      <c r="AGO74" s="7"/>
      <c r="AGP74" s="7"/>
      <c r="AGQ74" s="7"/>
      <c r="AGR74" s="7"/>
      <c r="AGS74" s="7"/>
      <c r="AGT74" s="7"/>
      <c r="AGU74" s="7"/>
      <c r="AGV74" s="7"/>
      <c r="AGW74" s="7"/>
      <c r="AGX74" s="7"/>
      <c r="AGY74" s="7"/>
      <c r="AGZ74" s="7"/>
      <c r="AHA74" s="7"/>
      <c r="AHB74" s="7"/>
      <c r="AHC74" s="7"/>
      <c r="AHD74" s="7"/>
      <c r="AHE74" s="7"/>
      <c r="AHF74" s="7"/>
      <c r="AHG74" s="7"/>
      <c r="AHH74" s="7"/>
      <c r="AHI74" s="7"/>
      <c r="AHJ74" s="7"/>
      <c r="AHK74" s="7"/>
      <c r="AHL74" s="7"/>
      <c r="AHM74" s="7"/>
      <c r="AHN74" s="7"/>
      <c r="AHO74" s="7"/>
      <c r="AHP74" s="7"/>
      <c r="AHQ74" s="7"/>
      <c r="AHR74" s="7"/>
      <c r="AHS74" s="7"/>
      <c r="AHT74" s="7"/>
      <c r="AHU74" s="7"/>
      <c r="AHV74" s="7"/>
      <c r="AHW74" s="7"/>
      <c r="AHX74" s="7"/>
      <c r="AHY74" s="7"/>
      <c r="AHZ74" s="7"/>
      <c r="AIA74" s="7"/>
      <c r="AIB74" s="7"/>
      <c r="AIC74" s="7"/>
      <c r="AID74" s="7"/>
      <c r="AIE74" s="7"/>
      <c r="AIF74" s="7"/>
      <c r="AIG74" s="7"/>
      <c r="AIH74" s="7"/>
      <c r="AII74" s="7"/>
      <c r="AIJ74" s="7"/>
      <c r="AIK74" s="7"/>
      <c r="AIL74" s="7"/>
      <c r="AIM74" s="7"/>
      <c r="AIN74" s="7"/>
      <c r="AIO74" s="7"/>
      <c r="AIP74" s="7"/>
      <c r="AIQ74" s="7"/>
      <c r="AIR74" s="7"/>
      <c r="AIS74" s="7"/>
      <c r="AIT74" s="7"/>
      <c r="AIU74" s="7"/>
      <c r="AIV74" s="7"/>
      <c r="AIW74" s="7"/>
      <c r="AIX74" s="7"/>
      <c r="AIY74" s="7"/>
      <c r="AIZ74" s="7"/>
      <c r="AJA74" s="7"/>
      <c r="AJB74" s="7"/>
      <c r="AJC74" s="7"/>
      <c r="AJD74" s="7"/>
      <c r="AJE74" s="7"/>
      <c r="AJF74" s="7"/>
      <c r="AJG74" s="7"/>
      <c r="AJH74" s="7"/>
      <c r="AJI74" s="7"/>
      <c r="AJJ74" s="7"/>
      <c r="AJK74" s="7"/>
      <c r="AJL74" s="7"/>
      <c r="AJM74" s="7"/>
      <c r="AJN74" s="7"/>
      <c r="AJO74" s="7"/>
      <c r="AJP74" s="7"/>
      <c r="AJQ74" s="7"/>
      <c r="AJR74" s="7"/>
      <c r="AJS74" s="7"/>
      <c r="AJT74" s="7"/>
      <c r="AJU74" s="7"/>
      <c r="AJV74" s="7"/>
      <c r="AJW74" s="7"/>
      <c r="AJX74" s="7"/>
      <c r="AJY74" s="7"/>
      <c r="AJZ74" s="7"/>
      <c r="AKA74" s="7"/>
      <c r="AKB74" s="7"/>
      <c r="AKC74" s="7"/>
      <c r="AKD74" s="7"/>
      <c r="AKE74" s="7"/>
      <c r="AKF74" s="7"/>
      <c r="AKG74" s="7"/>
      <c r="AKH74" s="7"/>
      <c r="AKI74" s="7"/>
      <c r="AKJ74" s="7"/>
      <c r="AKK74" s="7"/>
      <c r="AKL74" s="7"/>
      <c r="AKM74" s="7"/>
      <c r="AKN74" s="7"/>
      <c r="AKO74" s="7"/>
      <c r="AKP74" s="7"/>
      <c r="AKQ74" s="7"/>
      <c r="AKR74" s="7"/>
      <c r="AKS74" s="7"/>
      <c r="AKT74" s="7"/>
      <c r="AKU74" s="7"/>
      <c r="AKV74" s="7"/>
      <c r="AKW74" s="7"/>
      <c r="AKX74" s="7"/>
      <c r="AKY74" s="7"/>
      <c r="AKZ74" s="7"/>
      <c r="ALA74" s="7"/>
      <c r="ALB74" s="7"/>
      <c r="ALC74" s="7"/>
      <c r="ALD74" s="7"/>
      <c r="ALE74" s="7"/>
      <c r="ALF74" s="7"/>
      <c r="ALG74" s="7"/>
      <c r="ALH74" s="7"/>
      <c r="ALI74" s="7"/>
      <c r="ALJ74" s="7"/>
      <c r="ALK74" s="7"/>
      <c r="ALL74" s="7"/>
      <c r="ALM74" s="7"/>
      <c r="ALN74" s="7"/>
      <c r="ALO74" s="7"/>
      <c r="ALP74" s="7"/>
      <c r="ALQ74" s="7"/>
      <c r="ALR74" s="7"/>
      <c r="ALS74" s="7"/>
      <c r="ALT74" s="7"/>
      <c r="ALU74" s="7"/>
      <c r="ALV74" s="7"/>
      <c r="ALW74" s="7"/>
      <c r="ALX74" s="7"/>
      <c r="ALY74" s="7"/>
      <c r="ALZ74" s="7"/>
      <c r="AMA74" s="7"/>
      <c r="AMB74" s="7"/>
      <c r="AMC74" s="7"/>
      <c r="AMD74" s="7"/>
      <c r="AME74" s="7"/>
      <c r="AMF74" s="7"/>
      <c r="AMG74" s="7"/>
      <c r="AMH74" s="7"/>
      <c r="AMI74" s="7"/>
      <c r="AMJ74" s="7"/>
      <c r="AMK74" s="7"/>
      <c r="AML74" s="7"/>
      <c r="AMM74" s="7"/>
      <c r="AMN74" s="7"/>
      <c r="AMO74" s="7"/>
      <c r="AMP74" s="7"/>
      <c r="AMQ74" s="7"/>
      <c r="AMR74" s="7"/>
      <c r="AMS74" s="7"/>
      <c r="AMT74" s="7"/>
      <c r="AMU74" s="7"/>
      <c r="AMV74" s="7"/>
      <c r="AMW74" s="7"/>
      <c r="AMX74" s="7"/>
      <c r="AMY74" s="7"/>
      <c r="AMZ74" s="7"/>
      <c r="ANA74" s="7"/>
      <c r="ANB74" s="7"/>
      <c r="ANC74" s="7"/>
      <c r="AND74" s="7"/>
      <c r="ANE74" s="7"/>
      <c r="ANF74" s="7"/>
      <c r="ANG74" s="7"/>
      <c r="ANH74" s="7"/>
      <c r="ANI74" s="7"/>
      <c r="ANJ74" s="7"/>
      <c r="ANK74" s="7"/>
      <c r="ANL74" s="7"/>
      <c r="ANM74" s="7"/>
      <c r="ANN74" s="7"/>
      <c r="ANO74" s="7"/>
      <c r="ANP74" s="7"/>
      <c r="ANQ74" s="7"/>
      <c r="ANR74" s="7"/>
      <c r="ANS74" s="7"/>
      <c r="ANT74" s="7"/>
      <c r="ANU74" s="7"/>
      <c r="ANV74" s="7"/>
      <c r="ANW74" s="7"/>
      <c r="ANX74" s="7"/>
      <c r="ANY74" s="7"/>
      <c r="ANZ74" s="7"/>
      <c r="AOA74" s="7"/>
      <c r="AOB74" s="7"/>
      <c r="AOC74" s="7"/>
      <c r="AOD74" s="7"/>
      <c r="AOE74" s="7"/>
      <c r="AOF74" s="7"/>
      <c r="AOG74" s="7"/>
      <c r="AOH74" s="7"/>
      <c r="AOI74" s="7"/>
      <c r="AOJ74" s="7"/>
      <c r="AOK74" s="7"/>
      <c r="AOL74" s="7"/>
      <c r="AOM74" s="7"/>
      <c r="AON74" s="7"/>
      <c r="AOO74" s="7"/>
      <c r="AOP74" s="7"/>
      <c r="AOQ74" s="7"/>
      <c r="AOR74" s="7"/>
      <c r="AOS74" s="7"/>
      <c r="AOT74" s="7"/>
      <c r="AOU74" s="7"/>
      <c r="AOV74" s="7"/>
      <c r="AOW74" s="7"/>
      <c r="AOX74" s="7"/>
      <c r="AOY74" s="7"/>
      <c r="AOZ74" s="7"/>
      <c r="APA74" s="7"/>
      <c r="APB74" s="7"/>
      <c r="APC74" s="7"/>
      <c r="APD74" s="7"/>
      <c r="APE74" s="7"/>
      <c r="APF74" s="7"/>
      <c r="APG74" s="7"/>
      <c r="APH74" s="7"/>
      <c r="API74" s="7"/>
      <c r="APJ74" s="7"/>
      <c r="APK74" s="7"/>
      <c r="APL74" s="7"/>
      <c r="APM74" s="7"/>
      <c r="APN74" s="7"/>
      <c r="APO74" s="7"/>
      <c r="APP74" s="7"/>
      <c r="APQ74" s="7"/>
      <c r="APR74" s="7"/>
      <c r="APS74" s="7"/>
      <c r="APT74" s="7"/>
      <c r="APU74" s="7"/>
      <c r="APV74" s="7"/>
      <c r="APW74" s="7"/>
      <c r="APX74" s="7"/>
      <c r="APY74" s="7"/>
      <c r="APZ74" s="7"/>
      <c r="AQA74" s="7"/>
      <c r="AQB74" s="7"/>
      <c r="AQC74" s="7"/>
      <c r="AQD74" s="7"/>
      <c r="AQE74" s="7"/>
      <c r="AQF74" s="7"/>
      <c r="AQG74" s="7"/>
      <c r="AQH74" s="7"/>
      <c r="AQI74" s="7"/>
      <c r="AQJ74" s="7"/>
      <c r="AQK74" s="7"/>
      <c r="AQL74" s="7"/>
      <c r="AQM74" s="7"/>
      <c r="AQN74" s="7"/>
      <c r="AQO74" s="7"/>
      <c r="AQP74" s="7"/>
      <c r="AQQ74" s="7"/>
      <c r="AQR74" s="7"/>
      <c r="AQS74" s="7"/>
      <c r="AQT74" s="7"/>
      <c r="AQU74" s="7"/>
      <c r="AQV74" s="7"/>
      <c r="AQW74" s="7"/>
      <c r="AQX74" s="7"/>
      <c r="AQY74" s="7"/>
      <c r="AQZ74" s="7"/>
      <c r="ARA74" s="7"/>
      <c r="ARB74" s="7"/>
      <c r="ARC74" s="7"/>
      <c r="ARD74" s="7"/>
      <c r="ARE74" s="7"/>
      <c r="ARF74" s="7"/>
      <c r="ARG74" s="7"/>
      <c r="ARH74" s="7"/>
      <c r="ARI74" s="7"/>
      <c r="ARJ74" s="7"/>
      <c r="ARK74" s="7"/>
      <c r="ARL74" s="7"/>
      <c r="ARM74" s="7"/>
      <c r="ARN74" s="7"/>
      <c r="ARO74" s="7"/>
      <c r="ARP74" s="7"/>
      <c r="ARQ74" s="7"/>
      <c r="ARR74" s="7"/>
      <c r="ARS74" s="7"/>
      <c r="ART74" s="7"/>
      <c r="ARU74" s="7"/>
      <c r="ARV74" s="7"/>
      <c r="ARW74" s="7"/>
      <c r="ARX74" s="7"/>
      <c r="ARY74" s="7"/>
      <c r="ARZ74" s="7"/>
      <c r="ASA74" s="7"/>
      <c r="ASB74" s="7"/>
      <c r="ASC74" s="7"/>
      <c r="ASD74" s="7"/>
      <c r="ASE74" s="7"/>
      <c r="ASF74" s="7"/>
      <c r="ASG74" s="7"/>
      <c r="ASH74" s="7"/>
      <c r="ASI74" s="7"/>
      <c r="ASJ74" s="7"/>
      <c r="ASK74" s="7"/>
      <c r="ASL74" s="7"/>
      <c r="ASM74" s="7"/>
      <c r="ASN74" s="7"/>
      <c r="ASO74" s="7"/>
      <c r="ASP74" s="7"/>
      <c r="ASQ74" s="7"/>
      <c r="ASR74" s="7"/>
      <c r="ASS74" s="7"/>
      <c r="AST74" s="7"/>
      <c r="ASU74" s="7"/>
      <c r="ASV74" s="7"/>
      <c r="ASW74" s="7"/>
      <c r="ASX74" s="7"/>
      <c r="ASY74" s="7"/>
      <c r="ASZ74" s="7"/>
      <c r="ATA74" s="7"/>
      <c r="ATB74" s="7"/>
      <c r="ATC74" s="7"/>
      <c r="ATD74" s="7"/>
      <c r="ATE74" s="7"/>
      <c r="ATF74" s="7"/>
      <c r="ATG74" s="7"/>
      <c r="ATH74" s="7"/>
      <c r="ATI74" s="7"/>
      <c r="ATJ74" s="7"/>
      <c r="ATK74" s="7"/>
      <c r="ATL74" s="7"/>
      <c r="ATM74" s="7"/>
      <c r="ATN74" s="7"/>
      <c r="ATO74" s="7"/>
      <c r="ATP74" s="7"/>
      <c r="ATQ74" s="7"/>
      <c r="ATR74" s="7"/>
      <c r="ATS74" s="7"/>
      <c r="ATT74" s="7"/>
      <c r="ATU74" s="7"/>
      <c r="ATV74" s="7"/>
      <c r="ATW74" s="7"/>
      <c r="ATX74" s="7"/>
      <c r="ATY74" s="7"/>
      <c r="ATZ74" s="7"/>
      <c r="AUA74" s="7"/>
      <c r="AUB74" s="7"/>
      <c r="AUC74" s="7"/>
      <c r="AUD74" s="7"/>
      <c r="AUE74" s="7"/>
      <c r="AUF74" s="7"/>
      <c r="AUG74" s="7"/>
      <c r="AUH74" s="7"/>
      <c r="AUI74" s="7"/>
      <c r="AUJ74" s="7"/>
      <c r="AUK74" s="7"/>
      <c r="AUL74" s="7"/>
      <c r="AUM74" s="7"/>
      <c r="AUN74" s="7"/>
      <c r="AUO74" s="7"/>
      <c r="AUP74" s="7"/>
      <c r="AUQ74" s="7"/>
      <c r="AUR74" s="7"/>
      <c r="AUS74" s="7"/>
      <c r="AUT74" s="7"/>
      <c r="AUU74" s="7"/>
      <c r="AUV74" s="7"/>
      <c r="AUW74" s="7"/>
      <c r="AUX74" s="7"/>
      <c r="AUY74" s="7"/>
      <c r="AUZ74" s="7"/>
      <c r="AVA74" s="7"/>
      <c r="AVB74" s="7"/>
      <c r="AVC74" s="7"/>
      <c r="AVD74" s="7"/>
      <c r="AVE74" s="7"/>
      <c r="AVF74" s="7"/>
      <c r="AVG74" s="7"/>
      <c r="AVH74" s="7"/>
      <c r="AVI74" s="7"/>
      <c r="AVJ74" s="7"/>
      <c r="AVK74" s="7"/>
      <c r="AVL74" s="7"/>
      <c r="AVM74" s="7"/>
      <c r="AVN74" s="7"/>
      <c r="AVO74" s="7"/>
      <c r="AVP74" s="7"/>
      <c r="AVQ74" s="7"/>
      <c r="AVR74" s="7"/>
      <c r="AVS74" s="7"/>
      <c r="AVT74" s="7"/>
      <c r="AVU74" s="7"/>
      <c r="AVV74" s="7"/>
      <c r="AVW74" s="7"/>
      <c r="AVX74" s="7"/>
      <c r="AVY74" s="7"/>
      <c r="AVZ74" s="7"/>
      <c r="AWA74" s="7"/>
      <c r="AWB74" s="7"/>
      <c r="AWC74" s="7"/>
      <c r="AWD74" s="7"/>
      <c r="AWE74" s="7"/>
      <c r="AWF74" s="7"/>
      <c r="AWG74" s="7"/>
      <c r="AWH74" s="7"/>
      <c r="AWI74" s="7"/>
      <c r="AWJ74" s="7"/>
      <c r="AWK74" s="7"/>
      <c r="AWL74" s="7"/>
      <c r="AWM74" s="7"/>
      <c r="AWN74" s="7"/>
      <c r="AWO74" s="7"/>
      <c r="AWP74" s="7"/>
      <c r="AWQ74" s="7"/>
      <c r="AWR74" s="7"/>
      <c r="AWS74" s="7"/>
      <c r="AWT74" s="7"/>
      <c r="AWU74" s="7"/>
      <c r="AWV74" s="7"/>
    </row>
    <row r="75" spans="1:1296" ht="18.75" x14ac:dyDescent="0.25">
      <c r="A75" s="1" t="s">
        <v>33</v>
      </c>
      <c r="B75" s="25">
        <v>81</v>
      </c>
      <c r="C75" s="20">
        <f>B75*C78/B78</f>
        <v>165.56187745161293</v>
      </c>
    </row>
    <row r="76" spans="1:1296" ht="18.75" x14ac:dyDescent="0.25">
      <c r="A76" s="1" t="s">
        <v>82</v>
      </c>
      <c r="B76" s="25">
        <v>12</v>
      </c>
      <c r="C76" s="20">
        <f>B76*C78/B78</f>
        <v>24.527685548387101</v>
      </c>
    </row>
    <row r="77" spans="1:1296" ht="18.75" x14ac:dyDescent="0.25">
      <c r="A77" s="1" t="s">
        <v>106</v>
      </c>
      <c r="B77" s="25"/>
      <c r="C77" s="20"/>
    </row>
    <row r="78" spans="1:1296" s="5" customFormat="1" ht="18.75" x14ac:dyDescent="0.25">
      <c r="A78" s="4"/>
      <c r="B78" s="26">
        <f>SUM(B75:B77)</f>
        <v>93</v>
      </c>
      <c r="C78" s="21">
        <v>190.08956300000003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  <c r="TI78" s="7"/>
      <c r="TJ78" s="7"/>
      <c r="TK78" s="7"/>
      <c r="TL78" s="7"/>
      <c r="TM78" s="7"/>
      <c r="TN78" s="7"/>
      <c r="TO78" s="7"/>
      <c r="TP78" s="7"/>
      <c r="TQ78" s="7"/>
      <c r="TR78" s="7"/>
      <c r="TS78" s="7"/>
      <c r="TT78" s="7"/>
      <c r="TU78" s="7"/>
      <c r="TV78" s="7"/>
      <c r="TW78" s="7"/>
      <c r="TX78" s="7"/>
      <c r="TY78" s="7"/>
      <c r="TZ78" s="7"/>
      <c r="UA78" s="7"/>
      <c r="UB78" s="7"/>
      <c r="UC78" s="7"/>
      <c r="UD78" s="7"/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7"/>
      <c r="UP78" s="7"/>
      <c r="UQ78" s="7"/>
      <c r="UR78" s="7"/>
      <c r="US78" s="7"/>
      <c r="UT78" s="7"/>
      <c r="UU78" s="7"/>
      <c r="UV78" s="7"/>
      <c r="UW78" s="7"/>
      <c r="UX78" s="7"/>
      <c r="UY78" s="7"/>
      <c r="UZ78" s="7"/>
      <c r="VA78" s="7"/>
      <c r="VB78" s="7"/>
      <c r="VC78" s="7"/>
      <c r="VD78" s="7"/>
      <c r="VE78" s="7"/>
      <c r="VF78" s="7"/>
      <c r="VG78" s="7"/>
      <c r="VH78" s="7"/>
      <c r="VI78" s="7"/>
      <c r="VJ78" s="7"/>
      <c r="VK78" s="7"/>
      <c r="VL78" s="7"/>
      <c r="VM78" s="7"/>
      <c r="VN78" s="7"/>
      <c r="VO78" s="7"/>
      <c r="VP78" s="7"/>
      <c r="VQ78" s="7"/>
      <c r="VR78" s="7"/>
      <c r="VS78" s="7"/>
      <c r="VT78" s="7"/>
      <c r="VU78" s="7"/>
      <c r="VV78" s="7"/>
      <c r="VW78" s="7"/>
      <c r="VX78" s="7"/>
      <c r="VY78" s="7"/>
      <c r="VZ78" s="7"/>
      <c r="WA78" s="7"/>
      <c r="WB78" s="7"/>
      <c r="WC78" s="7"/>
      <c r="WD78" s="7"/>
      <c r="WE78" s="7"/>
      <c r="WF78" s="7"/>
      <c r="WG78" s="7"/>
      <c r="WH78" s="7"/>
      <c r="WI78" s="7"/>
      <c r="WJ78" s="7"/>
      <c r="WK78" s="7"/>
      <c r="WL78" s="7"/>
      <c r="WM78" s="7"/>
      <c r="WN78" s="7"/>
      <c r="WO78" s="7"/>
      <c r="WP78" s="7"/>
      <c r="WQ78" s="7"/>
      <c r="WR78" s="7"/>
      <c r="WS78" s="7"/>
      <c r="WT78" s="7"/>
      <c r="WU78" s="7"/>
      <c r="WV78" s="7"/>
      <c r="WW78" s="7"/>
      <c r="WX78" s="7"/>
      <c r="WY78" s="7"/>
      <c r="WZ78" s="7"/>
      <c r="XA78" s="7"/>
      <c r="XB78" s="7"/>
      <c r="XC78" s="7"/>
      <c r="XD78" s="7"/>
      <c r="XE78" s="7"/>
      <c r="XF78" s="7"/>
      <c r="XG78" s="7"/>
      <c r="XH78" s="7"/>
      <c r="XI78" s="7"/>
      <c r="XJ78" s="7"/>
      <c r="XK78" s="7"/>
      <c r="XL78" s="7"/>
      <c r="XM78" s="7"/>
      <c r="XN78" s="7"/>
      <c r="XO78" s="7"/>
      <c r="XP78" s="7"/>
      <c r="XQ78" s="7"/>
      <c r="XR78" s="7"/>
      <c r="XS78" s="7"/>
      <c r="XT78" s="7"/>
      <c r="XU78" s="7"/>
      <c r="XV78" s="7"/>
      <c r="XW78" s="7"/>
      <c r="XX78" s="7"/>
      <c r="XY78" s="7"/>
      <c r="XZ78" s="7"/>
      <c r="YA78" s="7"/>
      <c r="YB78" s="7"/>
      <c r="YC78" s="7"/>
      <c r="YD78" s="7"/>
      <c r="YE78" s="7"/>
      <c r="YF78" s="7"/>
      <c r="YG78" s="7"/>
      <c r="YH78" s="7"/>
      <c r="YI78" s="7"/>
      <c r="YJ78" s="7"/>
      <c r="YK78" s="7"/>
      <c r="YL78" s="7"/>
      <c r="YM78" s="7"/>
      <c r="YN78" s="7"/>
      <c r="YO78" s="7"/>
      <c r="YP78" s="7"/>
      <c r="YQ78" s="7"/>
      <c r="YR78" s="7"/>
      <c r="YS78" s="7"/>
      <c r="YT78" s="7"/>
      <c r="YU78" s="7"/>
      <c r="YV78" s="7"/>
      <c r="YW78" s="7"/>
      <c r="YX78" s="7"/>
      <c r="YY78" s="7"/>
      <c r="YZ78" s="7"/>
      <c r="ZA78" s="7"/>
      <c r="ZB78" s="7"/>
      <c r="ZC78" s="7"/>
      <c r="ZD78" s="7"/>
      <c r="ZE78" s="7"/>
      <c r="ZF78" s="7"/>
      <c r="ZG78" s="7"/>
      <c r="ZH78" s="7"/>
      <c r="ZI78" s="7"/>
      <c r="ZJ78" s="7"/>
      <c r="ZK78" s="7"/>
      <c r="ZL78" s="7"/>
      <c r="ZM78" s="7"/>
      <c r="ZN78" s="7"/>
      <c r="ZO78" s="7"/>
      <c r="ZP78" s="7"/>
      <c r="ZQ78" s="7"/>
      <c r="ZR78" s="7"/>
      <c r="ZS78" s="7"/>
      <c r="ZT78" s="7"/>
      <c r="ZU78" s="7"/>
      <c r="ZV78" s="7"/>
      <c r="ZW78" s="7"/>
      <c r="ZX78" s="7"/>
      <c r="ZY78" s="7"/>
      <c r="ZZ78" s="7"/>
      <c r="AAA78" s="7"/>
      <c r="AAB78" s="7"/>
      <c r="AAC78" s="7"/>
      <c r="AAD78" s="7"/>
      <c r="AAE78" s="7"/>
      <c r="AAF78" s="7"/>
      <c r="AAG78" s="7"/>
      <c r="AAH78" s="7"/>
      <c r="AAI78" s="7"/>
      <c r="AAJ78" s="7"/>
      <c r="AAK78" s="7"/>
      <c r="AAL78" s="7"/>
      <c r="AAM78" s="7"/>
      <c r="AAN78" s="7"/>
      <c r="AAO78" s="7"/>
      <c r="AAP78" s="7"/>
      <c r="AAQ78" s="7"/>
      <c r="AAR78" s="7"/>
      <c r="AAS78" s="7"/>
      <c r="AAT78" s="7"/>
      <c r="AAU78" s="7"/>
      <c r="AAV78" s="7"/>
      <c r="AAW78" s="7"/>
      <c r="AAX78" s="7"/>
      <c r="AAY78" s="7"/>
      <c r="AAZ78" s="7"/>
      <c r="ABA78" s="7"/>
      <c r="ABB78" s="7"/>
      <c r="ABC78" s="7"/>
      <c r="ABD78" s="7"/>
      <c r="ABE78" s="7"/>
      <c r="ABF78" s="7"/>
      <c r="ABG78" s="7"/>
      <c r="ABH78" s="7"/>
      <c r="ABI78" s="7"/>
      <c r="ABJ78" s="7"/>
      <c r="ABK78" s="7"/>
      <c r="ABL78" s="7"/>
      <c r="ABM78" s="7"/>
      <c r="ABN78" s="7"/>
      <c r="ABO78" s="7"/>
      <c r="ABP78" s="7"/>
      <c r="ABQ78" s="7"/>
      <c r="ABR78" s="7"/>
      <c r="ABS78" s="7"/>
      <c r="ABT78" s="7"/>
      <c r="ABU78" s="7"/>
      <c r="ABV78" s="7"/>
      <c r="ABW78" s="7"/>
      <c r="ABX78" s="7"/>
      <c r="ABY78" s="7"/>
      <c r="ABZ78" s="7"/>
      <c r="ACA78" s="7"/>
      <c r="ACB78" s="7"/>
      <c r="ACC78" s="7"/>
      <c r="ACD78" s="7"/>
      <c r="ACE78" s="7"/>
      <c r="ACF78" s="7"/>
      <c r="ACG78" s="7"/>
      <c r="ACH78" s="7"/>
      <c r="ACI78" s="7"/>
      <c r="ACJ78" s="7"/>
      <c r="ACK78" s="7"/>
      <c r="ACL78" s="7"/>
      <c r="ACM78" s="7"/>
      <c r="ACN78" s="7"/>
      <c r="ACO78" s="7"/>
      <c r="ACP78" s="7"/>
      <c r="ACQ78" s="7"/>
      <c r="ACR78" s="7"/>
      <c r="ACS78" s="7"/>
      <c r="ACT78" s="7"/>
      <c r="ACU78" s="7"/>
      <c r="ACV78" s="7"/>
      <c r="ACW78" s="7"/>
      <c r="ACX78" s="7"/>
      <c r="ACY78" s="7"/>
      <c r="ACZ78" s="7"/>
      <c r="ADA78" s="7"/>
      <c r="ADB78" s="7"/>
      <c r="ADC78" s="7"/>
      <c r="ADD78" s="7"/>
      <c r="ADE78" s="7"/>
      <c r="ADF78" s="7"/>
      <c r="ADG78" s="7"/>
      <c r="ADH78" s="7"/>
      <c r="ADI78" s="7"/>
      <c r="ADJ78" s="7"/>
      <c r="ADK78" s="7"/>
      <c r="ADL78" s="7"/>
      <c r="ADM78" s="7"/>
      <c r="ADN78" s="7"/>
      <c r="ADO78" s="7"/>
      <c r="ADP78" s="7"/>
      <c r="ADQ78" s="7"/>
      <c r="ADR78" s="7"/>
      <c r="ADS78" s="7"/>
      <c r="ADT78" s="7"/>
      <c r="ADU78" s="7"/>
      <c r="ADV78" s="7"/>
      <c r="ADW78" s="7"/>
      <c r="ADX78" s="7"/>
      <c r="ADY78" s="7"/>
      <c r="ADZ78" s="7"/>
      <c r="AEA78" s="7"/>
      <c r="AEB78" s="7"/>
      <c r="AEC78" s="7"/>
      <c r="AED78" s="7"/>
      <c r="AEE78" s="7"/>
      <c r="AEF78" s="7"/>
      <c r="AEG78" s="7"/>
      <c r="AEH78" s="7"/>
      <c r="AEI78" s="7"/>
      <c r="AEJ78" s="7"/>
      <c r="AEK78" s="7"/>
      <c r="AEL78" s="7"/>
      <c r="AEM78" s="7"/>
      <c r="AEN78" s="7"/>
      <c r="AEO78" s="7"/>
      <c r="AEP78" s="7"/>
      <c r="AEQ78" s="7"/>
      <c r="AER78" s="7"/>
      <c r="AES78" s="7"/>
      <c r="AET78" s="7"/>
      <c r="AEU78" s="7"/>
      <c r="AEV78" s="7"/>
      <c r="AEW78" s="7"/>
      <c r="AEX78" s="7"/>
      <c r="AEY78" s="7"/>
      <c r="AEZ78" s="7"/>
      <c r="AFA78" s="7"/>
      <c r="AFB78" s="7"/>
      <c r="AFC78" s="7"/>
      <c r="AFD78" s="7"/>
      <c r="AFE78" s="7"/>
      <c r="AFF78" s="7"/>
      <c r="AFG78" s="7"/>
      <c r="AFH78" s="7"/>
      <c r="AFI78" s="7"/>
      <c r="AFJ78" s="7"/>
      <c r="AFK78" s="7"/>
      <c r="AFL78" s="7"/>
      <c r="AFM78" s="7"/>
      <c r="AFN78" s="7"/>
      <c r="AFO78" s="7"/>
      <c r="AFP78" s="7"/>
      <c r="AFQ78" s="7"/>
      <c r="AFR78" s="7"/>
      <c r="AFS78" s="7"/>
      <c r="AFT78" s="7"/>
      <c r="AFU78" s="7"/>
      <c r="AFV78" s="7"/>
      <c r="AFW78" s="7"/>
      <c r="AFX78" s="7"/>
      <c r="AFY78" s="7"/>
      <c r="AFZ78" s="7"/>
      <c r="AGA78" s="7"/>
      <c r="AGB78" s="7"/>
      <c r="AGC78" s="7"/>
      <c r="AGD78" s="7"/>
      <c r="AGE78" s="7"/>
      <c r="AGF78" s="7"/>
      <c r="AGG78" s="7"/>
      <c r="AGH78" s="7"/>
      <c r="AGI78" s="7"/>
      <c r="AGJ78" s="7"/>
      <c r="AGK78" s="7"/>
      <c r="AGL78" s="7"/>
      <c r="AGM78" s="7"/>
      <c r="AGN78" s="7"/>
      <c r="AGO78" s="7"/>
      <c r="AGP78" s="7"/>
      <c r="AGQ78" s="7"/>
      <c r="AGR78" s="7"/>
      <c r="AGS78" s="7"/>
      <c r="AGT78" s="7"/>
      <c r="AGU78" s="7"/>
      <c r="AGV78" s="7"/>
      <c r="AGW78" s="7"/>
      <c r="AGX78" s="7"/>
      <c r="AGY78" s="7"/>
      <c r="AGZ78" s="7"/>
      <c r="AHA78" s="7"/>
      <c r="AHB78" s="7"/>
      <c r="AHC78" s="7"/>
      <c r="AHD78" s="7"/>
      <c r="AHE78" s="7"/>
      <c r="AHF78" s="7"/>
      <c r="AHG78" s="7"/>
      <c r="AHH78" s="7"/>
      <c r="AHI78" s="7"/>
      <c r="AHJ78" s="7"/>
      <c r="AHK78" s="7"/>
      <c r="AHL78" s="7"/>
      <c r="AHM78" s="7"/>
      <c r="AHN78" s="7"/>
      <c r="AHO78" s="7"/>
      <c r="AHP78" s="7"/>
      <c r="AHQ78" s="7"/>
      <c r="AHR78" s="7"/>
      <c r="AHS78" s="7"/>
      <c r="AHT78" s="7"/>
      <c r="AHU78" s="7"/>
      <c r="AHV78" s="7"/>
      <c r="AHW78" s="7"/>
      <c r="AHX78" s="7"/>
      <c r="AHY78" s="7"/>
      <c r="AHZ78" s="7"/>
      <c r="AIA78" s="7"/>
      <c r="AIB78" s="7"/>
      <c r="AIC78" s="7"/>
      <c r="AID78" s="7"/>
      <c r="AIE78" s="7"/>
      <c r="AIF78" s="7"/>
      <c r="AIG78" s="7"/>
      <c r="AIH78" s="7"/>
      <c r="AII78" s="7"/>
      <c r="AIJ78" s="7"/>
      <c r="AIK78" s="7"/>
      <c r="AIL78" s="7"/>
      <c r="AIM78" s="7"/>
      <c r="AIN78" s="7"/>
      <c r="AIO78" s="7"/>
      <c r="AIP78" s="7"/>
      <c r="AIQ78" s="7"/>
      <c r="AIR78" s="7"/>
      <c r="AIS78" s="7"/>
      <c r="AIT78" s="7"/>
      <c r="AIU78" s="7"/>
      <c r="AIV78" s="7"/>
      <c r="AIW78" s="7"/>
      <c r="AIX78" s="7"/>
      <c r="AIY78" s="7"/>
      <c r="AIZ78" s="7"/>
      <c r="AJA78" s="7"/>
      <c r="AJB78" s="7"/>
      <c r="AJC78" s="7"/>
      <c r="AJD78" s="7"/>
      <c r="AJE78" s="7"/>
      <c r="AJF78" s="7"/>
      <c r="AJG78" s="7"/>
      <c r="AJH78" s="7"/>
      <c r="AJI78" s="7"/>
      <c r="AJJ78" s="7"/>
      <c r="AJK78" s="7"/>
      <c r="AJL78" s="7"/>
      <c r="AJM78" s="7"/>
      <c r="AJN78" s="7"/>
      <c r="AJO78" s="7"/>
      <c r="AJP78" s="7"/>
      <c r="AJQ78" s="7"/>
      <c r="AJR78" s="7"/>
      <c r="AJS78" s="7"/>
      <c r="AJT78" s="7"/>
      <c r="AJU78" s="7"/>
      <c r="AJV78" s="7"/>
      <c r="AJW78" s="7"/>
      <c r="AJX78" s="7"/>
      <c r="AJY78" s="7"/>
      <c r="AJZ78" s="7"/>
      <c r="AKA78" s="7"/>
      <c r="AKB78" s="7"/>
      <c r="AKC78" s="7"/>
      <c r="AKD78" s="7"/>
      <c r="AKE78" s="7"/>
      <c r="AKF78" s="7"/>
      <c r="AKG78" s="7"/>
      <c r="AKH78" s="7"/>
      <c r="AKI78" s="7"/>
      <c r="AKJ78" s="7"/>
      <c r="AKK78" s="7"/>
      <c r="AKL78" s="7"/>
      <c r="AKM78" s="7"/>
      <c r="AKN78" s="7"/>
      <c r="AKO78" s="7"/>
      <c r="AKP78" s="7"/>
      <c r="AKQ78" s="7"/>
      <c r="AKR78" s="7"/>
      <c r="AKS78" s="7"/>
      <c r="AKT78" s="7"/>
      <c r="AKU78" s="7"/>
      <c r="AKV78" s="7"/>
      <c r="AKW78" s="7"/>
      <c r="AKX78" s="7"/>
      <c r="AKY78" s="7"/>
      <c r="AKZ78" s="7"/>
      <c r="ALA78" s="7"/>
      <c r="ALB78" s="7"/>
      <c r="ALC78" s="7"/>
      <c r="ALD78" s="7"/>
      <c r="ALE78" s="7"/>
      <c r="ALF78" s="7"/>
      <c r="ALG78" s="7"/>
      <c r="ALH78" s="7"/>
      <c r="ALI78" s="7"/>
      <c r="ALJ78" s="7"/>
      <c r="ALK78" s="7"/>
      <c r="ALL78" s="7"/>
      <c r="ALM78" s="7"/>
      <c r="ALN78" s="7"/>
      <c r="ALO78" s="7"/>
      <c r="ALP78" s="7"/>
      <c r="ALQ78" s="7"/>
      <c r="ALR78" s="7"/>
      <c r="ALS78" s="7"/>
      <c r="ALT78" s="7"/>
      <c r="ALU78" s="7"/>
      <c r="ALV78" s="7"/>
      <c r="ALW78" s="7"/>
      <c r="ALX78" s="7"/>
      <c r="ALY78" s="7"/>
      <c r="ALZ78" s="7"/>
      <c r="AMA78" s="7"/>
      <c r="AMB78" s="7"/>
      <c r="AMC78" s="7"/>
      <c r="AMD78" s="7"/>
      <c r="AME78" s="7"/>
      <c r="AMF78" s="7"/>
      <c r="AMG78" s="7"/>
      <c r="AMH78" s="7"/>
      <c r="AMI78" s="7"/>
      <c r="AMJ78" s="7"/>
      <c r="AMK78" s="7"/>
      <c r="AML78" s="7"/>
      <c r="AMM78" s="7"/>
      <c r="AMN78" s="7"/>
      <c r="AMO78" s="7"/>
      <c r="AMP78" s="7"/>
      <c r="AMQ78" s="7"/>
      <c r="AMR78" s="7"/>
      <c r="AMS78" s="7"/>
      <c r="AMT78" s="7"/>
      <c r="AMU78" s="7"/>
      <c r="AMV78" s="7"/>
      <c r="AMW78" s="7"/>
      <c r="AMX78" s="7"/>
      <c r="AMY78" s="7"/>
      <c r="AMZ78" s="7"/>
      <c r="ANA78" s="7"/>
      <c r="ANB78" s="7"/>
      <c r="ANC78" s="7"/>
      <c r="AND78" s="7"/>
      <c r="ANE78" s="7"/>
      <c r="ANF78" s="7"/>
      <c r="ANG78" s="7"/>
      <c r="ANH78" s="7"/>
      <c r="ANI78" s="7"/>
      <c r="ANJ78" s="7"/>
      <c r="ANK78" s="7"/>
      <c r="ANL78" s="7"/>
      <c r="ANM78" s="7"/>
      <c r="ANN78" s="7"/>
      <c r="ANO78" s="7"/>
      <c r="ANP78" s="7"/>
      <c r="ANQ78" s="7"/>
      <c r="ANR78" s="7"/>
      <c r="ANS78" s="7"/>
      <c r="ANT78" s="7"/>
      <c r="ANU78" s="7"/>
      <c r="ANV78" s="7"/>
      <c r="ANW78" s="7"/>
      <c r="ANX78" s="7"/>
      <c r="ANY78" s="7"/>
      <c r="ANZ78" s="7"/>
      <c r="AOA78" s="7"/>
      <c r="AOB78" s="7"/>
      <c r="AOC78" s="7"/>
      <c r="AOD78" s="7"/>
      <c r="AOE78" s="7"/>
      <c r="AOF78" s="7"/>
      <c r="AOG78" s="7"/>
      <c r="AOH78" s="7"/>
      <c r="AOI78" s="7"/>
      <c r="AOJ78" s="7"/>
      <c r="AOK78" s="7"/>
      <c r="AOL78" s="7"/>
      <c r="AOM78" s="7"/>
      <c r="AON78" s="7"/>
      <c r="AOO78" s="7"/>
      <c r="AOP78" s="7"/>
      <c r="AOQ78" s="7"/>
      <c r="AOR78" s="7"/>
      <c r="AOS78" s="7"/>
      <c r="AOT78" s="7"/>
      <c r="AOU78" s="7"/>
      <c r="AOV78" s="7"/>
      <c r="AOW78" s="7"/>
      <c r="AOX78" s="7"/>
      <c r="AOY78" s="7"/>
      <c r="AOZ78" s="7"/>
      <c r="APA78" s="7"/>
      <c r="APB78" s="7"/>
      <c r="APC78" s="7"/>
      <c r="APD78" s="7"/>
      <c r="APE78" s="7"/>
      <c r="APF78" s="7"/>
      <c r="APG78" s="7"/>
      <c r="APH78" s="7"/>
      <c r="API78" s="7"/>
      <c r="APJ78" s="7"/>
      <c r="APK78" s="7"/>
      <c r="APL78" s="7"/>
      <c r="APM78" s="7"/>
      <c r="APN78" s="7"/>
      <c r="APO78" s="7"/>
      <c r="APP78" s="7"/>
      <c r="APQ78" s="7"/>
      <c r="APR78" s="7"/>
      <c r="APS78" s="7"/>
      <c r="APT78" s="7"/>
      <c r="APU78" s="7"/>
      <c r="APV78" s="7"/>
      <c r="APW78" s="7"/>
      <c r="APX78" s="7"/>
      <c r="APY78" s="7"/>
      <c r="APZ78" s="7"/>
      <c r="AQA78" s="7"/>
      <c r="AQB78" s="7"/>
      <c r="AQC78" s="7"/>
      <c r="AQD78" s="7"/>
      <c r="AQE78" s="7"/>
      <c r="AQF78" s="7"/>
      <c r="AQG78" s="7"/>
      <c r="AQH78" s="7"/>
      <c r="AQI78" s="7"/>
      <c r="AQJ78" s="7"/>
      <c r="AQK78" s="7"/>
      <c r="AQL78" s="7"/>
      <c r="AQM78" s="7"/>
      <c r="AQN78" s="7"/>
      <c r="AQO78" s="7"/>
      <c r="AQP78" s="7"/>
      <c r="AQQ78" s="7"/>
      <c r="AQR78" s="7"/>
      <c r="AQS78" s="7"/>
      <c r="AQT78" s="7"/>
      <c r="AQU78" s="7"/>
      <c r="AQV78" s="7"/>
      <c r="AQW78" s="7"/>
      <c r="AQX78" s="7"/>
      <c r="AQY78" s="7"/>
      <c r="AQZ78" s="7"/>
      <c r="ARA78" s="7"/>
      <c r="ARB78" s="7"/>
      <c r="ARC78" s="7"/>
      <c r="ARD78" s="7"/>
      <c r="ARE78" s="7"/>
      <c r="ARF78" s="7"/>
      <c r="ARG78" s="7"/>
      <c r="ARH78" s="7"/>
      <c r="ARI78" s="7"/>
      <c r="ARJ78" s="7"/>
      <c r="ARK78" s="7"/>
      <c r="ARL78" s="7"/>
      <c r="ARM78" s="7"/>
      <c r="ARN78" s="7"/>
      <c r="ARO78" s="7"/>
      <c r="ARP78" s="7"/>
      <c r="ARQ78" s="7"/>
      <c r="ARR78" s="7"/>
      <c r="ARS78" s="7"/>
      <c r="ART78" s="7"/>
      <c r="ARU78" s="7"/>
      <c r="ARV78" s="7"/>
      <c r="ARW78" s="7"/>
      <c r="ARX78" s="7"/>
      <c r="ARY78" s="7"/>
      <c r="ARZ78" s="7"/>
      <c r="ASA78" s="7"/>
      <c r="ASB78" s="7"/>
      <c r="ASC78" s="7"/>
      <c r="ASD78" s="7"/>
      <c r="ASE78" s="7"/>
      <c r="ASF78" s="7"/>
      <c r="ASG78" s="7"/>
      <c r="ASH78" s="7"/>
      <c r="ASI78" s="7"/>
      <c r="ASJ78" s="7"/>
      <c r="ASK78" s="7"/>
      <c r="ASL78" s="7"/>
      <c r="ASM78" s="7"/>
      <c r="ASN78" s="7"/>
      <c r="ASO78" s="7"/>
      <c r="ASP78" s="7"/>
      <c r="ASQ78" s="7"/>
      <c r="ASR78" s="7"/>
      <c r="ASS78" s="7"/>
      <c r="AST78" s="7"/>
      <c r="ASU78" s="7"/>
      <c r="ASV78" s="7"/>
      <c r="ASW78" s="7"/>
      <c r="ASX78" s="7"/>
      <c r="ASY78" s="7"/>
      <c r="ASZ78" s="7"/>
      <c r="ATA78" s="7"/>
      <c r="ATB78" s="7"/>
      <c r="ATC78" s="7"/>
      <c r="ATD78" s="7"/>
      <c r="ATE78" s="7"/>
      <c r="ATF78" s="7"/>
      <c r="ATG78" s="7"/>
      <c r="ATH78" s="7"/>
      <c r="ATI78" s="7"/>
      <c r="ATJ78" s="7"/>
      <c r="ATK78" s="7"/>
      <c r="ATL78" s="7"/>
      <c r="ATM78" s="7"/>
      <c r="ATN78" s="7"/>
      <c r="ATO78" s="7"/>
      <c r="ATP78" s="7"/>
      <c r="ATQ78" s="7"/>
      <c r="ATR78" s="7"/>
      <c r="ATS78" s="7"/>
      <c r="ATT78" s="7"/>
      <c r="ATU78" s="7"/>
      <c r="ATV78" s="7"/>
      <c r="ATW78" s="7"/>
      <c r="ATX78" s="7"/>
      <c r="ATY78" s="7"/>
      <c r="ATZ78" s="7"/>
      <c r="AUA78" s="7"/>
      <c r="AUB78" s="7"/>
      <c r="AUC78" s="7"/>
      <c r="AUD78" s="7"/>
      <c r="AUE78" s="7"/>
      <c r="AUF78" s="7"/>
      <c r="AUG78" s="7"/>
      <c r="AUH78" s="7"/>
      <c r="AUI78" s="7"/>
      <c r="AUJ78" s="7"/>
      <c r="AUK78" s="7"/>
      <c r="AUL78" s="7"/>
      <c r="AUM78" s="7"/>
      <c r="AUN78" s="7"/>
      <c r="AUO78" s="7"/>
      <c r="AUP78" s="7"/>
      <c r="AUQ78" s="7"/>
      <c r="AUR78" s="7"/>
      <c r="AUS78" s="7"/>
      <c r="AUT78" s="7"/>
      <c r="AUU78" s="7"/>
      <c r="AUV78" s="7"/>
      <c r="AUW78" s="7"/>
      <c r="AUX78" s="7"/>
      <c r="AUY78" s="7"/>
      <c r="AUZ78" s="7"/>
      <c r="AVA78" s="7"/>
      <c r="AVB78" s="7"/>
      <c r="AVC78" s="7"/>
      <c r="AVD78" s="7"/>
      <c r="AVE78" s="7"/>
      <c r="AVF78" s="7"/>
      <c r="AVG78" s="7"/>
      <c r="AVH78" s="7"/>
      <c r="AVI78" s="7"/>
      <c r="AVJ78" s="7"/>
      <c r="AVK78" s="7"/>
      <c r="AVL78" s="7"/>
      <c r="AVM78" s="7"/>
      <c r="AVN78" s="7"/>
      <c r="AVO78" s="7"/>
      <c r="AVP78" s="7"/>
      <c r="AVQ78" s="7"/>
      <c r="AVR78" s="7"/>
      <c r="AVS78" s="7"/>
      <c r="AVT78" s="7"/>
      <c r="AVU78" s="7"/>
      <c r="AVV78" s="7"/>
      <c r="AVW78" s="7"/>
      <c r="AVX78" s="7"/>
      <c r="AVY78" s="7"/>
      <c r="AVZ78" s="7"/>
      <c r="AWA78" s="7"/>
      <c r="AWB78" s="7"/>
      <c r="AWC78" s="7"/>
      <c r="AWD78" s="7"/>
      <c r="AWE78" s="7"/>
      <c r="AWF78" s="7"/>
      <c r="AWG78" s="7"/>
      <c r="AWH78" s="7"/>
      <c r="AWI78" s="7"/>
      <c r="AWJ78" s="7"/>
      <c r="AWK78" s="7"/>
      <c r="AWL78" s="7"/>
      <c r="AWM78" s="7"/>
      <c r="AWN78" s="7"/>
      <c r="AWO78" s="7"/>
      <c r="AWP78" s="7"/>
      <c r="AWQ78" s="7"/>
      <c r="AWR78" s="7"/>
      <c r="AWS78" s="7"/>
      <c r="AWT78" s="7"/>
      <c r="AWU78" s="7"/>
      <c r="AWV78" s="7"/>
    </row>
    <row r="79" spans="1:1296" s="6" customFormat="1" ht="18.75" x14ac:dyDescent="0.25">
      <c r="A79" s="1" t="s">
        <v>138</v>
      </c>
      <c r="B79" s="28"/>
      <c r="C79" s="23"/>
    </row>
    <row r="80" spans="1:1296" s="6" customFormat="1" ht="18.75" x14ac:dyDescent="0.25">
      <c r="A80" s="1" t="s">
        <v>145</v>
      </c>
      <c r="B80" s="27">
        <v>24</v>
      </c>
      <c r="C80" s="23">
        <f>B80*C83/B83</f>
        <v>61.937828571428568</v>
      </c>
    </row>
    <row r="81" spans="1:1296" s="6" customFormat="1" ht="18.75" x14ac:dyDescent="0.25">
      <c r="A81" s="1" t="s">
        <v>140</v>
      </c>
      <c r="B81" s="27">
        <v>106</v>
      </c>
      <c r="C81" s="23">
        <f>B81*C83/B83</f>
        <v>273.55874285714287</v>
      </c>
    </row>
    <row r="82" spans="1:1296" s="6" customFormat="1" ht="18.75" x14ac:dyDescent="0.25">
      <c r="A82" s="1" t="s">
        <v>144</v>
      </c>
      <c r="B82" s="61">
        <v>45</v>
      </c>
      <c r="C82" s="23">
        <f>B82*C83/B83</f>
        <v>116.13342857142857</v>
      </c>
    </row>
    <row r="83" spans="1:1296" s="7" customFormat="1" ht="18.75" x14ac:dyDescent="0.25">
      <c r="A83" s="4"/>
      <c r="B83" s="26">
        <f>SUM(B80:B82)</f>
        <v>175</v>
      </c>
      <c r="C83" s="21">
        <v>451.63</v>
      </c>
    </row>
    <row r="84" spans="1:1296" ht="18.75" x14ac:dyDescent="0.25">
      <c r="A84" s="1" t="s">
        <v>41</v>
      </c>
      <c r="B84" s="25">
        <v>191</v>
      </c>
      <c r="C84" s="20">
        <f>B84*C87/B87</f>
        <v>314.18013618677048</v>
      </c>
    </row>
    <row r="85" spans="1:1296" ht="18.75" x14ac:dyDescent="0.25">
      <c r="A85" s="1" t="s">
        <v>40</v>
      </c>
      <c r="B85" s="25">
        <v>170</v>
      </c>
      <c r="C85" s="20">
        <f>B85*C87/B87</f>
        <v>279.63677042801561</v>
      </c>
    </row>
    <row r="86" spans="1:1296" ht="18.75" x14ac:dyDescent="0.25">
      <c r="A86" s="1" t="s">
        <v>42</v>
      </c>
      <c r="B86" s="25">
        <v>153</v>
      </c>
      <c r="C86" s="20">
        <f>B86*C87/B87</f>
        <v>251.67309338521403</v>
      </c>
    </row>
    <row r="87" spans="1:1296" s="5" customFormat="1" ht="18.75" x14ac:dyDescent="0.25">
      <c r="A87" s="4"/>
      <c r="B87" s="26">
        <f>SUM(B84:B86)</f>
        <v>514</v>
      </c>
      <c r="C87" s="21">
        <v>845.49000000000012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  <c r="LY87" s="7"/>
      <c r="LZ87" s="7"/>
      <c r="MA87" s="7"/>
      <c r="MB87" s="7"/>
      <c r="MC87" s="7"/>
      <c r="MD87" s="7"/>
      <c r="ME87" s="7"/>
      <c r="MF87" s="7"/>
      <c r="MG87" s="7"/>
      <c r="MH87" s="7"/>
      <c r="MI87" s="7"/>
      <c r="MJ87" s="7"/>
      <c r="MK87" s="7"/>
      <c r="ML87" s="7"/>
      <c r="MM87" s="7"/>
      <c r="MN87" s="7"/>
      <c r="MO87" s="7"/>
      <c r="MP87" s="7"/>
      <c r="MQ87" s="7"/>
      <c r="MR87" s="7"/>
      <c r="MS87" s="7"/>
      <c r="MT87" s="7"/>
      <c r="MU87" s="7"/>
      <c r="MV87" s="7"/>
      <c r="MW87" s="7"/>
      <c r="MX87" s="7"/>
      <c r="MY87" s="7"/>
      <c r="MZ87" s="7"/>
      <c r="NA87" s="7"/>
      <c r="NB87" s="7"/>
      <c r="NC87" s="7"/>
      <c r="ND87" s="7"/>
      <c r="NE87" s="7"/>
      <c r="NF87" s="7"/>
      <c r="NG87" s="7"/>
      <c r="NH87" s="7"/>
      <c r="NI87" s="7"/>
      <c r="NJ87" s="7"/>
      <c r="NK87" s="7"/>
      <c r="NL87" s="7"/>
      <c r="NM87" s="7"/>
      <c r="NN87" s="7"/>
      <c r="NO87" s="7"/>
      <c r="NP87" s="7"/>
      <c r="NQ87" s="7"/>
      <c r="NR87" s="7"/>
      <c r="NS87" s="7"/>
      <c r="NT87" s="7"/>
      <c r="NU87" s="7"/>
      <c r="NV87" s="7"/>
      <c r="NW87" s="7"/>
      <c r="NX87" s="7"/>
      <c r="NY87" s="7"/>
      <c r="NZ87" s="7"/>
      <c r="OA87" s="7"/>
      <c r="OB87" s="7"/>
      <c r="OC87" s="7"/>
      <c r="OD87" s="7"/>
      <c r="OE87" s="7"/>
      <c r="OF87" s="7"/>
      <c r="OG87" s="7"/>
      <c r="OH87" s="7"/>
      <c r="OI87" s="7"/>
      <c r="OJ87" s="7"/>
      <c r="OK87" s="7"/>
      <c r="OL87" s="7"/>
      <c r="OM87" s="7"/>
      <c r="ON87" s="7"/>
      <c r="OO87" s="7"/>
      <c r="OP87" s="7"/>
      <c r="OQ87" s="7"/>
      <c r="OR87" s="7"/>
      <c r="OS87" s="7"/>
      <c r="OT87" s="7"/>
      <c r="OU87" s="7"/>
      <c r="OV87" s="7"/>
      <c r="OW87" s="7"/>
      <c r="OX87" s="7"/>
      <c r="OY87" s="7"/>
      <c r="OZ87" s="7"/>
      <c r="PA87" s="7"/>
      <c r="PB87" s="7"/>
      <c r="PC87" s="7"/>
      <c r="PD87" s="7"/>
      <c r="PE87" s="7"/>
      <c r="PF87" s="7"/>
      <c r="PG87" s="7"/>
      <c r="PH87" s="7"/>
      <c r="PI87" s="7"/>
      <c r="PJ87" s="7"/>
      <c r="PK87" s="7"/>
      <c r="PL87" s="7"/>
      <c r="PM87" s="7"/>
      <c r="PN87" s="7"/>
      <c r="PO87" s="7"/>
      <c r="PP87" s="7"/>
      <c r="PQ87" s="7"/>
      <c r="PR87" s="7"/>
      <c r="PS87" s="7"/>
      <c r="PT87" s="7"/>
      <c r="PU87" s="7"/>
      <c r="PV87" s="7"/>
      <c r="PW87" s="7"/>
      <c r="PX87" s="7"/>
      <c r="PY87" s="7"/>
      <c r="PZ87" s="7"/>
      <c r="QA87" s="7"/>
      <c r="QB87" s="7"/>
      <c r="QC87" s="7"/>
      <c r="QD87" s="7"/>
      <c r="QE87" s="7"/>
      <c r="QF87" s="7"/>
      <c r="QG87" s="7"/>
      <c r="QH87" s="7"/>
      <c r="QI87" s="7"/>
      <c r="QJ87" s="7"/>
      <c r="QK87" s="7"/>
      <c r="QL87" s="7"/>
      <c r="QM87" s="7"/>
      <c r="QN87" s="7"/>
      <c r="QO87" s="7"/>
      <c r="QP87" s="7"/>
      <c r="QQ87" s="7"/>
      <c r="QR87" s="7"/>
      <c r="QS87" s="7"/>
      <c r="QT87" s="7"/>
      <c r="QU87" s="7"/>
      <c r="QV87" s="7"/>
      <c r="QW87" s="7"/>
      <c r="QX87" s="7"/>
      <c r="QY87" s="7"/>
      <c r="QZ87" s="7"/>
      <c r="RA87" s="7"/>
      <c r="RB87" s="7"/>
      <c r="RC87" s="7"/>
      <c r="RD87" s="7"/>
      <c r="RE87" s="7"/>
      <c r="RF87" s="7"/>
      <c r="RG87" s="7"/>
      <c r="RH87" s="7"/>
      <c r="RI87" s="7"/>
      <c r="RJ87" s="7"/>
      <c r="RK87" s="7"/>
      <c r="RL87" s="7"/>
      <c r="RM87" s="7"/>
      <c r="RN87" s="7"/>
      <c r="RO87" s="7"/>
      <c r="RP87" s="7"/>
      <c r="RQ87" s="7"/>
      <c r="RR87" s="7"/>
      <c r="RS87" s="7"/>
      <c r="RT87" s="7"/>
      <c r="RU87" s="7"/>
      <c r="RV87" s="7"/>
      <c r="RW87" s="7"/>
      <c r="RX87" s="7"/>
      <c r="RY87" s="7"/>
      <c r="RZ87" s="7"/>
      <c r="SA87" s="7"/>
      <c r="SB87" s="7"/>
      <c r="SC87" s="7"/>
      <c r="SD87" s="7"/>
      <c r="SE87" s="7"/>
      <c r="SF87" s="7"/>
      <c r="SG87" s="7"/>
      <c r="SH87" s="7"/>
      <c r="SI87" s="7"/>
      <c r="SJ87" s="7"/>
      <c r="SK87" s="7"/>
      <c r="SL87" s="7"/>
      <c r="SM87" s="7"/>
      <c r="SN87" s="7"/>
      <c r="SO87" s="7"/>
      <c r="SP87" s="7"/>
      <c r="SQ87" s="7"/>
      <c r="SR87" s="7"/>
      <c r="SS87" s="7"/>
      <c r="ST87" s="7"/>
      <c r="SU87" s="7"/>
      <c r="SV87" s="7"/>
      <c r="SW87" s="7"/>
      <c r="SX87" s="7"/>
      <c r="SY87" s="7"/>
      <c r="SZ87" s="7"/>
      <c r="TA87" s="7"/>
      <c r="TB87" s="7"/>
      <c r="TC87" s="7"/>
      <c r="TD87" s="7"/>
      <c r="TE87" s="7"/>
      <c r="TF87" s="7"/>
      <c r="TG87" s="7"/>
      <c r="TH87" s="7"/>
      <c r="TI87" s="7"/>
      <c r="TJ87" s="7"/>
      <c r="TK87" s="7"/>
      <c r="TL87" s="7"/>
      <c r="TM87" s="7"/>
      <c r="TN87" s="7"/>
      <c r="TO87" s="7"/>
      <c r="TP87" s="7"/>
      <c r="TQ87" s="7"/>
      <c r="TR87" s="7"/>
      <c r="TS87" s="7"/>
      <c r="TT87" s="7"/>
      <c r="TU87" s="7"/>
      <c r="TV87" s="7"/>
      <c r="TW87" s="7"/>
      <c r="TX87" s="7"/>
      <c r="TY87" s="7"/>
      <c r="TZ87" s="7"/>
      <c r="UA87" s="7"/>
      <c r="UB87" s="7"/>
      <c r="UC87" s="7"/>
      <c r="UD87" s="7"/>
      <c r="UE87" s="7"/>
      <c r="UF87" s="7"/>
      <c r="UG87" s="7"/>
      <c r="UH87" s="7"/>
      <c r="UI87" s="7"/>
      <c r="UJ87" s="7"/>
      <c r="UK87" s="7"/>
      <c r="UL87" s="7"/>
      <c r="UM87" s="7"/>
      <c r="UN87" s="7"/>
      <c r="UO87" s="7"/>
      <c r="UP87" s="7"/>
      <c r="UQ87" s="7"/>
      <c r="UR87" s="7"/>
      <c r="US87" s="7"/>
      <c r="UT87" s="7"/>
      <c r="UU87" s="7"/>
      <c r="UV87" s="7"/>
      <c r="UW87" s="7"/>
      <c r="UX87" s="7"/>
      <c r="UY87" s="7"/>
      <c r="UZ87" s="7"/>
      <c r="VA87" s="7"/>
      <c r="VB87" s="7"/>
      <c r="VC87" s="7"/>
      <c r="VD87" s="7"/>
      <c r="VE87" s="7"/>
      <c r="VF87" s="7"/>
      <c r="VG87" s="7"/>
      <c r="VH87" s="7"/>
      <c r="VI87" s="7"/>
      <c r="VJ87" s="7"/>
      <c r="VK87" s="7"/>
      <c r="VL87" s="7"/>
      <c r="VM87" s="7"/>
      <c r="VN87" s="7"/>
      <c r="VO87" s="7"/>
      <c r="VP87" s="7"/>
      <c r="VQ87" s="7"/>
      <c r="VR87" s="7"/>
      <c r="VS87" s="7"/>
      <c r="VT87" s="7"/>
      <c r="VU87" s="7"/>
      <c r="VV87" s="7"/>
      <c r="VW87" s="7"/>
      <c r="VX87" s="7"/>
      <c r="VY87" s="7"/>
      <c r="VZ87" s="7"/>
      <c r="WA87" s="7"/>
      <c r="WB87" s="7"/>
      <c r="WC87" s="7"/>
      <c r="WD87" s="7"/>
      <c r="WE87" s="7"/>
      <c r="WF87" s="7"/>
      <c r="WG87" s="7"/>
      <c r="WH87" s="7"/>
      <c r="WI87" s="7"/>
      <c r="WJ87" s="7"/>
      <c r="WK87" s="7"/>
      <c r="WL87" s="7"/>
      <c r="WM87" s="7"/>
      <c r="WN87" s="7"/>
      <c r="WO87" s="7"/>
      <c r="WP87" s="7"/>
      <c r="WQ87" s="7"/>
      <c r="WR87" s="7"/>
      <c r="WS87" s="7"/>
      <c r="WT87" s="7"/>
      <c r="WU87" s="7"/>
      <c r="WV87" s="7"/>
      <c r="WW87" s="7"/>
      <c r="WX87" s="7"/>
      <c r="WY87" s="7"/>
      <c r="WZ87" s="7"/>
      <c r="XA87" s="7"/>
      <c r="XB87" s="7"/>
      <c r="XC87" s="7"/>
      <c r="XD87" s="7"/>
      <c r="XE87" s="7"/>
      <c r="XF87" s="7"/>
      <c r="XG87" s="7"/>
      <c r="XH87" s="7"/>
      <c r="XI87" s="7"/>
      <c r="XJ87" s="7"/>
      <c r="XK87" s="7"/>
      <c r="XL87" s="7"/>
      <c r="XM87" s="7"/>
      <c r="XN87" s="7"/>
      <c r="XO87" s="7"/>
      <c r="XP87" s="7"/>
      <c r="XQ87" s="7"/>
      <c r="XR87" s="7"/>
      <c r="XS87" s="7"/>
      <c r="XT87" s="7"/>
      <c r="XU87" s="7"/>
      <c r="XV87" s="7"/>
      <c r="XW87" s="7"/>
      <c r="XX87" s="7"/>
      <c r="XY87" s="7"/>
      <c r="XZ87" s="7"/>
      <c r="YA87" s="7"/>
      <c r="YB87" s="7"/>
      <c r="YC87" s="7"/>
      <c r="YD87" s="7"/>
      <c r="YE87" s="7"/>
      <c r="YF87" s="7"/>
      <c r="YG87" s="7"/>
      <c r="YH87" s="7"/>
      <c r="YI87" s="7"/>
      <c r="YJ87" s="7"/>
      <c r="YK87" s="7"/>
      <c r="YL87" s="7"/>
      <c r="YM87" s="7"/>
      <c r="YN87" s="7"/>
      <c r="YO87" s="7"/>
      <c r="YP87" s="7"/>
      <c r="YQ87" s="7"/>
      <c r="YR87" s="7"/>
      <c r="YS87" s="7"/>
      <c r="YT87" s="7"/>
      <c r="YU87" s="7"/>
      <c r="YV87" s="7"/>
      <c r="YW87" s="7"/>
      <c r="YX87" s="7"/>
      <c r="YY87" s="7"/>
      <c r="YZ87" s="7"/>
      <c r="ZA87" s="7"/>
      <c r="ZB87" s="7"/>
      <c r="ZC87" s="7"/>
      <c r="ZD87" s="7"/>
      <c r="ZE87" s="7"/>
      <c r="ZF87" s="7"/>
      <c r="ZG87" s="7"/>
      <c r="ZH87" s="7"/>
      <c r="ZI87" s="7"/>
      <c r="ZJ87" s="7"/>
      <c r="ZK87" s="7"/>
      <c r="ZL87" s="7"/>
      <c r="ZM87" s="7"/>
      <c r="ZN87" s="7"/>
      <c r="ZO87" s="7"/>
      <c r="ZP87" s="7"/>
      <c r="ZQ87" s="7"/>
      <c r="ZR87" s="7"/>
      <c r="ZS87" s="7"/>
      <c r="ZT87" s="7"/>
      <c r="ZU87" s="7"/>
      <c r="ZV87" s="7"/>
      <c r="ZW87" s="7"/>
      <c r="ZX87" s="7"/>
      <c r="ZY87" s="7"/>
      <c r="ZZ87" s="7"/>
      <c r="AAA87" s="7"/>
      <c r="AAB87" s="7"/>
      <c r="AAC87" s="7"/>
      <c r="AAD87" s="7"/>
      <c r="AAE87" s="7"/>
      <c r="AAF87" s="7"/>
      <c r="AAG87" s="7"/>
      <c r="AAH87" s="7"/>
      <c r="AAI87" s="7"/>
      <c r="AAJ87" s="7"/>
      <c r="AAK87" s="7"/>
      <c r="AAL87" s="7"/>
      <c r="AAM87" s="7"/>
      <c r="AAN87" s="7"/>
      <c r="AAO87" s="7"/>
      <c r="AAP87" s="7"/>
      <c r="AAQ87" s="7"/>
      <c r="AAR87" s="7"/>
      <c r="AAS87" s="7"/>
      <c r="AAT87" s="7"/>
      <c r="AAU87" s="7"/>
      <c r="AAV87" s="7"/>
      <c r="AAW87" s="7"/>
      <c r="AAX87" s="7"/>
      <c r="AAY87" s="7"/>
      <c r="AAZ87" s="7"/>
      <c r="ABA87" s="7"/>
      <c r="ABB87" s="7"/>
      <c r="ABC87" s="7"/>
      <c r="ABD87" s="7"/>
      <c r="ABE87" s="7"/>
      <c r="ABF87" s="7"/>
      <c r="ABG87" s="7"/>
      <c r="ABH87" s="7"/>
      <c r="ABI87" s="7"/>
      <c r="ABJ87" s="7"/>
      <c r="ABK87" s="7"/>
      <c r="ABL87" s="7"/>
      <c r="ABM87" s="7"/>
      <c r="ABN87" s="7"/>
      <c r="ABO87" s="7"/>
      <c r="ABP87" s="7"/>
      <c r="ABQ87" s="7"/>
      <c r="ABR87" s="7"/>
      <c r="ABS87" s="7"/>
      <c r="ABT87" s="7"/>
      <c r="ABU87" s="7"/>
      <c r="ABV87" s="7"/>
      <c r="ABW87" s="7"/>
      <c r="ABX87" s="7"/>
      <c r="ABY87" s="7"/>
      <c r="ABZ87" s="7"/>
      <c r="ACA87" s="7"/>
      <c r="ACB87" s="7"/>
      <c r="ACC87" s="7"/>
      <c r="ACD87" s="7"/>
      <c r="ACE87" s="7"/>
      <c r="ACF87" s="7"/>
      <c r="ACG87" s="7"/>
      <c r="ACH87" s="7"/>
      <c r="ACI87" s="7"/>
      <c r="ACJ87" s="7"/>
      <c r="ACK87" s="7"/>
      <c r="ACL87" s="7"/>
      <c r="ACM87" s="7"/>
      <c r="ACN87" s="7"/>
      <c r="ACO87" s="7"/>
      <c r="ACP87" s="7"/>
      <c r="ACQ87" s="7"/>
      <c r="ACR87" s="7"/>
      <c r="ACS87" s="7"/>
      <c r="ACT87" s="7"/>
      <c r="ACU87" s="7"/>
      <c r="ACV87" s="7"/>
      <c r="ACW87" s="7"/>
      <c r="ACX87" s="7"/>
      <c r="ACY87" s="7"/>
      <c r="ACZ87" s="7"/>
      <c r="ADA87" s="7"/>
      <c r="ADB87" s="7"/>
      <c r="ADC87" s="7"/>
      <c r="ADD87" s="7"/>
      <c r="ADE87" s="7"/>
      <c r="ADF87" s="7"/>
      <c r="ADG87" s="7"/>
      <c r="ADH87" s="7"/>
      <c r="ADI87" s="7"/>
      <c r="ADJ87" s="7"/>
      <c r="ADK87" s="7"/>
      <c r="ADL87" s="7"/>
      <c r="ADM87" s="7"/>
      <c r="ADN87" s="7"/>
      <c r="ADO87" s="7"/>
      <c r="ADP87" s="7"/>
      <c r="ADQ87" s="7"/>
      <c r="ADR87" s="7"/>
      <c r="ADS87" s="7"/>
      <c r="ADT87" s="7"/>
      <c r="ADU87" s="7"/>
      <c r="ADV87" s="7"/>
      <c r="ADW87" s="7"/>
      <c r="ADX87" s="7"/>
      <c r="ADY87" s="7"/>
      <c r="ADZ87" s="7"/>
      <c r="AEA87" s="7"/>
      <c r="AEB87" s="7"/>
      <c r="AEC87" s="7"/>
      <c r="AED87" s="7"/>
      <c r="AEE87" s="7"/>
      <c r="AEF87" s="7"/>
      <c r="AEG87" s="7"/>
      <c r="AEH87" s="7"/>
      <c r="AEI87" s="7"/>
      <c r="AEJ87" s="7"/>
      <c r="AEK87" s="7"/>
      <c r="AEL87" s="7"/>
      <c r="AEM87" s="7"/>
      <c r="AEN87" s="7"/>
      <c r="AEO87" s="7"/>
      <c r="AEP87" s="7"/>
      <c r="AEQ87" s="7"/>
      <c r="AER87" s="7"/>
      <c r="AES87" s="7"/>
      <c r="AET87" s="7"/>
      <c r="AEU87" s="7"/>
      <c r="AEV87" s="7"/>
      <c r="AEW87" s="7"/>
      <c r="AEX87" s="7"/>
      <c r="AEY87" s="7"/>
      <c r="AEZ87" s="7"/>
      <c r="AFA87" s="7"/>
      <c r="AFB87" s="7"/>
      <c r="AFC87" s="7"/>
      <c r="AFD87" s="7"/>
      <c r="AFE87" s="7"/>
      <c r="AFF87" s="7"/>
      <c r="AFG87" s="7"/>
      <c r="AFH87" s="7"/>
      <c r="AFI87" s="7"/>
      <c r="AFJ87" s="7"/>
      <c r="AFK87" s="7"/>
      <c r="AFL87" s="7"/>
      <c r="AFM87" s="7"/>
      <c r="AFN87" s="7"/>
      <c r="AFO87" s="7"/>
      <c r="AFP87" s="7"/>
      <c r="AFQ87" s="7"/>
      <c r="AFR87" s="7"/>
      <c r="AFS87" s="7"/>
      <c r="AFT87" s="7"/>
      <c r="AFU87" s="7"/>
      <c r="AFV87" s="7"/>
      <c r="AFW87" s="7"/>
      <c r="AFX87" s="7"/>
      <c r="AFY87" s="7"/>
      <c r="AFZ87" s="7"/>
      <c r="AGA87" s="7"/>
      <c r="AGB87" s="7"/>
      <c r="AGC87" s="7"/>
      <c r="AGD87" s="7"/>
      <c r="AGE87" s="7"/>
      <c r="AGF87" s="7"/>
      <c r="AGG87" s="7"/>
      <c r="AGH87" s="7"/>
      <c r="AGI87" s="7"/>
      <c r="AGJ87" s="7"/>
      <c r="AGK87" s="7"/>
      <c r="AGL87" s="7"/>
      <c r="AGM87" s="7"/>
      <c r="AGN87" s="7"/>
      <c r="AGO87" s="7"/>
      <c r="AGP87" s="7"/>
      <c r="AGQ87" s="7"/>
      <c r="AGR87" s="7"/>
      <c r="AGS87" s="7"/>
      <c r="AGT87" s="7"/>
      <c r="AGU87" s="7"/>
      <c r="AGV87" s="7"/>
      <c r="AGW87" s="7"/>
      <c r="AGX87" s="7"/>
      <c r="AGY87" s="7"/>
      <c r="AGZ87" s="7"/>
      <c r="AHA87" s="7"/>
      <c r="AHB87" s="7"/>
      <c r="AHC87" s="7"/>
      <c r="AHD87" s="7"/>
      <c r="AHE87" s="7"/>
      <c r="AHF87" s="7"/>
      <c r="AHG87" s="7"/>
      <c r="AHH87" s="7"/>
      <c r="AHI87" s="7"/>
      <c r="AHJ87" s="7"/>
      <c r="AHK87" s="7"/>
      <c r="AHL87" s="7"/>
      <c r="AHM87" s="7"/>
      <c r="AHN87" s="7"/>
      <c r="AHO87" s="7"/>
      <c r="AHP87" s="7"/>
      <c r="AHQ87" s="7"/>
      <c r="AHR87" s="7"/>
      <c r="AHS87" s="7"/>
      <c r="AHT87" s="7"/>
      <c r="AHU87" s="7"/>
      <c r="AHV87" s="7"/>
      <c r="AHW87" s="7"/>
      <c r="AHX87" s="7"/>
      <c r="AHY87" s="7"/>
      <c r="AHZ87" s="7"/>
      <c r="AIA87" s="7"/>
      <c r="AIB87" s="7"/>
      <c r="AIC87" s="7"/>
      <c r="AID87" s="7"/>
      <c r="AIE87" s="7"/>
      <c r="AIF87" s="7"/>
      <c r="AIG87" s="7"/>
      <c r="AIH87" s="7"/>
      <c r="AII87" s="7"/>
      <c r="AIJ87" s="7"/>
      <c r="AIK87" s="7"/>
      <c r="AIL87" s="7"/>
      <c r="AIM87" s="7"/>
      <c r="AIN87" s="7"/>
      <c r="AIO87" s="7"/>
      <c r="AIP87" s="7"/>
      <c r="AIQ87" s="7"/>
      <c r="AIR87" s="7"/>
      <c r="AIS87" s="7"/>
      <c r="AIT87" s="7"/>
      <c r="AIU87" s="7"/>
      <c r="AIV87" s="7"/>
      <c r="AIW87" s="7"/>
      <c r="AIX87" s="7"/>
      <c r="AIY87" s="7"/>
      <c r="AIZ87" s="7"/>
      <c r="AJA87" s="7"/>
      <c r="AJB87" s="7"/>
      <c r="AJC87" s="7"/>
      <c r="AJD87" s="7"/>
      <c r="AJE87" s="7"/>
      <c r="AJF87" s="7"/>
      <c r="AJG87" s="7"/>
      <c r="AJH87" s="7"/>
      <c r="AJI87" s="7"/>
      <c r="AJJ87" s="7"/>
      <c r="AJK87" s="7"/>
      <c r="AJL87" s="7"/>
      <c r="AJM87" s="7"/>
      <c r="AJN87" s="7"/>
      <c r="AJO87" s="7"/>
      <c r="AJP87" s="7"/>
      <c r="AJQ87" s="7"/>
      <c r="AJR87" s="7"/>
      <c r="AJS87" s="7"/>
      <c r="AJT87" s="7"/>
      <c r="AJU87" s="7"/>
      <c r="AJV87" s="7"/>
      <c r="AJW87" s="7"/>
      <c r="AJX87" s="7"/>
      <c r="AJY87" s="7"/>
      <c r="AJZ87" s="7"/>
      <c r="AKA87" s="7"/>
      <c r="AKB87" s="7"/>
      <c r="AKC87" s="7"/>
      <c r="AKD87" s="7"/>
      <c r="AKE87" s="7"/>
      <c r="AKF87" s="7"/>
      <c r="AKG87" s="7"/>
      <c r="AKH87" s="7"/>
      <c r="AKI87" s="7"/>
      <c r="AKJ87" s="7"/>
      <c r="AKK87" s="7"/>
      <c r="AKL87" s="7"/>
      <c r="AKM87" s="7"/>
      <c r="AKN87" s="7"/>
      <c r="AKO87" s="7"/>
      <c r="AKP87" s="7"/>
      <c r="AKQ87" s="7"/>
      <c r="AKR87" s="7"/>
      <c r="AKS87" s="7"/>
      <c r="AKT87" s="7"/>
      <c r="AKU87" s="7"/>
      <c r="AKV87" s="7"/>
      <c r="AKW87" s="7"/>
      <c r="AKX87" s="7"/>
      <c r="AKY87" s="7"/>
      <c r="AKZ87" s="7"/>
      <c r="ALA87" s="7"/>
      <c r="ALB87" s="7"/>
      <c r="ALC87" s="7"/>
      <c r="ALD87" s="7"/>
      <c r="ALE87" s="7"/>
      <c r="ALF87" s="7"/>
      <c r="ALG87" s="7"/>
      <c r="ALH87" s="7"/>
      <c r="ALI87" s="7"/>
      <c r="ALJ87" s="7"/>
      <c r="ALK87" s="7"/>
      <c r="ALL87" s="7"/>
      <c r="ALM87" s="7"/>
      <c r="ALN87" s="7"/>
      <c r="ALO87" s="7"/>
      <c r="ALP87" s="7"/>
      <c r="ALQ87" s="7"/>
      <c r="ALR87" s="7"/>
      <c r="ALS87" s="7"/>
      <c r="ALT87" s="7"/>
      <c r="ALU87" s="7"/>
      <c r="ALV87" s="7"/>
      <c r="ALW87" s="7"/>
      <c r="ALX87" s="7"/>
      <c r="ALY87" s="7"/>
      <c r="ALZ87" s="7"/>
      <c r="AMA87" s="7"/>
      <c r="AMB87" s="7"/>
      <c r="AMC87" s="7"/>
      <c r="AMD87" s="7"/>
      <c r="AME87" s="7"/>
      <c r="AMF87" s="7"/>
      <c r="AMG87" s="7"/>
      <c r="AMH87" s="7"/>
      <c r="AMI87" s="7"/>
      <c r="AMJ87" s="7"/>
      <c r="AMK87" s="7"/>
      <c r="AML87" s="7"/>
      <c r="AMM87" s="7"/>
      <c r="AMN87" s="7"/>
      <c r="AMO87" s="7"/>
      <c r="AMP87" s="7"/>
      <c r="AMQ87" s="7"/>
      <c r="AMR87" s="7"/>
      <c r="AMS87" s="7"/>
      <c r="AMT87" s="7"/>
      <c r="AMU87" s="7"/>
      <c r="AMV87" s="7"/>
      <c r="AMW87" s="7"/>
      <c r="AMX87" s="7"/>
      <c r="AMY87" s="7"/>
      <c r="AMZ87" s="7"/>
      <c r="ANA87" s="7"/>
      <c r="ANB87" s="7"/>
      <c r="ANC87" s="7"/>
      <c r="AND87" s="7"/>
      <c r="ANE87" s="7"/>
      <c r="ANF87" s="7"/>
      <c r="ANG87" s="7"/>
      <c r="ANH87" s="7"/>
      <c r="ANI87" s="7"/>
      <c r="ANJ87" s="7"/>
      <c r="ANK87" s="7"/>
      <c r="ANL87" s="7"/>
      <c r="ANM87" s="7"/>
      <c r="ANN87" s="7"/>
      <c r="ANO87" s="7"/>
      <c r="ANP87" s="7"/>
      <c r="ANQ87" s="7"/>
      <c r="ANR87" s="7"/>
      <c r="ANS87" s="7"/>
      <c r="ANT87" s="7"/>
      <c r="ANU87" s="7"/>
      <c r="ANV87" s="7"/>
      <c r="ANW87" s="7"/>
      <c r="ANX87" s="7"/>
      <c r="ANY87" s="7"/>
      <c r="ANZ87" s="7"/>
      <c r="AOA87" s="7"/>
      <c r="AOB87" s="7"/>
      <c r="AOC87" s="7"/>
      <c r="AOD87" s="7"/>
      <c r="AOE87" s="7"/>
      <c r="AOF87" s="7"/>
      <c r="AOG87" s="7"/>
      <c r="AOH87" s="7"/>
      <c r="AOI87" s="7"/>
      <c r="AOJ87" s="7"/>
      <c r="AOK87" s="7"/>
      <c r="AOL87" s="7"/>
      <c r="AOM87" s="7"/>
      <c r="AON87" s="7"/>
      <c r="AOO87" s="7"/>
      <c r="AOP87" s="7"/>
      <c r="AOQ87" s="7"/>
      <c r="AOR87" s="7"/>
      <c r="AOS87" s="7"/>
      <c r="AOT87" s="7"/>
      <c r="AOU87" s="7"/>
      <c r="AOV87" s="7"/>
      <c r="AOW87" s="7"/>
      <c r="AOX87" s="7"/>
      <c r="AOY87" s="7"/>
      <c r="AOZ87" s="7"/>
      <c r="APA87" s="7"/>
      <c r="APB87" s="7"/>
      <c r="APC87" s="7"/>
      <c r="APD87" s="7"/>
      <c r="APE87" s="7"/>
      <c r="APF87" s="7"/>
      <c r="APG87" s="7"/>
      <c r="APH87" s="7"/>
      <c r="API87" s="7"/>
      <c r="APJ87" s="7"/>
      <c r="APK87" s="7"/>
      <c r="APL87" s="7"/>
      <c r="APM87" s="7"/>
      <c r="APN87" s="7"/>
      <c r="APO87" s="7"/>
      <c r="APP87" s="7"/>
      <c r="APQ87" s="7"/>
      <c r="APR87" s="7"/>
      <c r="APS87" s="7"/>
      <c r="APT87" s="7"/>
      <c r="APU87" s="7"/>
      <c r="APV87" s="7"/>
      <c r="APW87" s="7"/>
      <c r="APX87" s="7"/>
      <c r="APY87" s="7"/>
      <c r="APZ87" s="7"/>
      <c r="AQA87" s="7"/>
      <c r="AQB87" s="7"/>
      <c r="AQC87" s="7"/>
      <c r="AQD87" s="7"/>
      <c r="AQE87" s="7"/>
      <c r="AQF87" s="7"/>
      <c r="AQG87" s="7"/>
      <c r="AQH87" s="7"/>
      <c r="AQI87" s="7"/>
      <c r="AQJ87" s="7"/>
      <c r="AQK87" s="7"/>
      <c r="AQL87" s="7"/>
      <c r="AQM87" s="7"/>
      <c r="AQN87" s="7"/>
      <c r="AQO87" s="7"/>
      <c r="AQP87" s="7"/>
      <c r="AQQ87" s="7"/>
      <c r="AQR87" s="7"/>
      <c r="AQS87" s="7"/>
      <c r="AQT87" s="7"/>
      <c r="AQU87" s="7"/>
      <c r="AQV87" s="7"/>
      <c r="AQW87" s="7"/>
      <c r="AQX87" s="7"/>
      <c r="AQY87" s="7"/>
      <c r="AQZ87" s="7"/>
      <c r="ARA87" s="7"/>
      <c r="ARB87" s="7"/>
      <c r="ARC87" s="7"/>
      <c r="ARD87" s="7"/>
      <c r="ARE87" s="7"/>
      <c r="ARF87" s="7"/>
      <c r="ARG87" s="7"/>
      <c r="ARH87" s="7"/>
      <c r="ARI87" s="7"/>
      <c r="ARJ87" s="7"/>
      <c r="ARK87" s="7"/>
      <c r="ARL87" s="7"/>
      <c r="ARM87" s="7"/>
      <c r="ARN87" s="7"/>
      <c r="ARO87" s="7"/>
      <c r="ARP87" s="7"/>
      <c r="ARQ87" s="7"/>
      <c r="ARR87" s="7"/>
      <c r="ARS87" s="7"/>
      <c r="ART87" s="7"/>
      <c r="ARU87" s="7"/>
      <c r="ARV87" s="7"/>
      <c r="ARW87" s="7"/>
      <c r="ARX87" s="7"/>
      <c r="ARY87" s="7"/>
      <c r="ARZ87" s="7"/>
      <c r="ASA87" s="7"/>
      <c r="ASB87" s="7"/>
      <c r="ASC87" s="7"/>
      <c r="ASD87" s="7"/>
      <c r="ASE87" s="7"/>
      <c r="ASF87" s="7"/>
      <c r="ASG87" s="7"/>
      <c r="ASH87" s="7"/>
      <c r="ASI87" s="7"/>
      <c r="ASJ87" s="7"/>
      <c r="ASK87" s="7"/>
      <c r="ASL87" s="7"/>
      <c r="ASM87" s="7"/>
      <c r="ASN87" s="7"/>
      <c r="ASO87" s="7"/>
      <c r="ASP87" s="7"/>
      <c r="ASQ87" s="7"/>
      <c r="ASR87" s="7"/>
      <c r="ASS87" s="7"/>
      <c r="AST87" s="7"/>
      <c r="ASU87" s="7"/>
      <c r="ASV87" s="7"/>
      <c r="ASW87" s="7"/>
      <c r="ASX87" s="7"/>
      <c r="ASY87" s="7"/>
      <c r="ASZ87" s="7"/>
      <c r="ATA87" s="7"/>
      <c r="ATB87" s="7"/>
      <c r="ATC87" s="7"/>
      <c r="ATD87" s="7"/>
      <c r="ATE87" s="7"/>
      <c r="ATF87" s="7"/>
      <c r="ATG87" s="7"/>
      <c r="ATH87" s="7"/>
      <c r="ATI87" s="7"/>
      <c r="ATJ87" s="7"/>
      <c r="ATK87" s="7"/>
      <c r="ATL87" s="7"/>
      <c r="ATM87" s="7"/>
      <c r="ATN87" s="7"/>
      <c r="ATO87" s="7"/>
      <c r="ATP87" s="7"/>
      <c r="ATQ87" s="7"/>
      <c r="ATR87" s="7"/>
      <c r="ATS87" s="7"/>
      <c r="ATT87" s="7"/>
      <c r="ATU87" s="7"/>
      <c r="ATV87" s="7"/>
      <c r="ATW87" s="7"/>
      <c r="ATX87" s="7"/>
      <c r="ATY87" s="7"/>
      <c r="ATZ87" s="7"/>
      <c r="AUA87" s="7"/>
      <c r="AUB87" s="7"/>
      <c r="AUC87" s="7"/>
      <c r="AUD87" s="7"/>
      <c r="AUE87" s="7"/>
      <c r="AUF87" s="7"/>
      <c r="AUG87" s="7"/>
      <c r="AUH87" s="7"/>
      <c r="AUI87" s="7"/>
      <c r="AUJ87" s="7"/>
      <c r="AUK87" s="7"/>
      <c r="AUL87" s="7"/>
      <c r="AUM87" s="7"/>
      <c r="AUN87" s="7"/>
      <c r="AUO87" s="7"/>
      <c r="AUP87" s="7"/>
      <c r="AUQ87" s="7"/>
      <c r="AUR87" s="7"/>
      <c r="AUS87" s="7"/>
      <c r="AUT87" s="7"/>
      <c r="AUU87" s="7"/>
      <c r="AUV87" s="7"/>
      <c r="AUW87" s="7"/>
      <c r="AUX87" s="7"/>
      <c r="AUY87" s="7"/>
      <c r="AUZ87" s="7"/>
      <c r="AVA87" s="7"/>
      <c r="AVB87" s="7"/>
      <c r="AVC87" s="7"/>
      <c r="AVD87" s="7"/>
      <c r="AVE87" s="7"/>
      <c r="AVF87" s="7"/>
      <c r="AVG87" s="7"/>
      <c r="AVH87" s="7"/>
      <c r="AVI87" s="7"/>
      <c r="AVJ87" s="7"/>
      <c r="AVK87" s="7"/>
      <c r="AVL87" s="7"/>
      <c r="AVM87" s="7"/>
      <c r="AVN87" s="7"/>
      <c r="AVO87" s="7"/>
      <c r="AVP87" s="7"/>
      <c r="AVQ87" s="7"/>
      <c r="AVR87" s="7"/>
      <c r="AVS87" s="7"/>
      <c r="AVT87" s="7"/>
      <c r="AVU87" s="7"/>
      <c r="AVV87" s="7"/>
      <c r="AVW87" s="7"/>
      <c r="AVX87" s="7"/>
      <c r="AVY87" s="7"/>
      <c r="AVZ87" s="7"/>
      <c r="AWA87" s="7"/>
      <c r="AWB87" s="7"/>
      <c r="AWC87" s="7"/>
      <c r="AWD87" s="7"/>
      <c r="AWE87" s="7"/>
      <c r="AWF87" s="7"/>
      <c r="AWG87" s="7"/>
      <c r="AWH87" s="7"/>
      <c r="AWI87" s="7"/>
      <c r="AWJ87" s="7"/>
      <c r="AWK87" s="7"/>
      <c r="AWL87" s="7"/>
      <c r="AWM87" s="7"/>
      <c r="AWN87" s="7"/>
      <c r="AWO87" s="7"/>
      <c r="AWP87" s="7"/>
      <c r="AWQ87" s="7"/>
      <c r="AWR87" s="7"/>
      <c r="AWS87" s="7"/>
      <c r="AWT87" s="7"/>
      <c r="AWU87" s="7"/>
      <c r="AWV87" s="7"/>
    </row>
    <row r="88" spans="1:1296" ht="18.75" x14ac:dyDescent="0.25">
      <c r="A88" s="1" t="s">
        <v>44</v>
      </c>
      <c r="B88" s="25">
        <v>192</v>
      </c>
      <c r="C88" s="20">
        <f>B88*C91/B91</f>
        <v>337.90117647058827</v>
      </c>
    </row>
    <row r="89" spans="1:1296" ht="18.75" x14ac:dyDescent="0.25">
      <c r="A89" s="1" t="s">
        <v>65</v>
      </c>
      <c r="B89" s="25">
        <v>98</v>
      </c>
      <c r="C89" s="20">
        <f>B89*C91/B91</f>
        <v>172.47039215686277</v>
      </c>
    </row>
    <row r="90" spans="1:1296" ht="18.75" x14ac:dyDescent="0.25">
      <c r="A90" s="1" t="s">
        <v>66</v>
      </c>
      <c r="B90" s="25">
        <v>16</v>
      </c>
      <c r="C90" s="20">
        <f>B90*C91/B91</f>
        <v>28.158431372549025</v>
      </c>
    </row>
    <row r="91" spans="1:1296" s="5" customFormat="1" ht="18.75" x14ac:dyDescent="0.25">
      <c r="A91" s="4"/>
      <c r="B91" s="26">
        <f>SUM(B88:B90)</f>
        <v>306</v>
      </c>
      <c r="C91" s="21">
        <v>538.53000000000009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/>
      <c r="JB91" s="7"/>
      <c r="JC91" s="7"/>
      <c r="JD91" s="7"/>
      <c r="JE91" s="7"/>
      <c r="JF91" s="7"/>
      <c r="JG91" s="7"/>
      <c r="JH91" s="7"/>
      <c r="JI91" s="7"/>
      <c r="JJ91" s="7"/>
      <c r="JK91" s="7"/>
      <c r="JL91" s="7"/>
      <c r="JM91" s="7"/>
      <c r="JN91" s="7"/>
      <c r="JO91" s="7"/>
      <c r="JP91" s="7"/>
      <c r="JQ91" s="7"/>
      <c r="JR91" s="7"/>
      <c r="JS91" s="7"/>
      <c r="JT91" s="7"/>
      <c r="JU91" s="7"/>
      <c r="JV91" s="7"/>
      <c r="JW91" s="7"/>
      <c r="JX91" s="7"/>
      <c r="JY91" s="7"/>
      <c r="JZ91" s="7"/>
      <c r="KA91" s="7"/>
      <c r="KB91" s="7"/>
      <c r="KC91" s="7"/>
      <c r="KD91" s="7"/>
      <c r="KE91" s="7"/>
      <c r="KF91" s="7"/>
      <c r="KG91" s="7"/>
      <c r="KH91" s="7"/>
      <c r="KI91" s="7"/>
      <c r="KJ91" s="7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  <c r="LH91" s="7"/>
      <c r="LI91" s="7"/>
      <c r="LJ91" s="7"/>
      <c r="LK91" s="7"/>
      <c r="LL91" s="7"/>
      <c r="LM91" s="7"/>
      <c r="LN91" s="7"/>
      <c r="LO91" s="7"/>
      <c r="LP91" s="7"/>
      <c r="LQ91" s="7"/>
      <c r="LR91" s="7"/>
      <c r="LS91" s="7"/>
      <c r="LT91" s="7"/>
      <c r="LU91" s="7"/>
      <c r="LV91" s="7"/>
      <c r="LW91" s="7"/>
      <c r="LX91" s="7"/>
      <c r="LY91" s="7"/>
      <c r="LZ91" s="7"/>
      <c r="MA91" s="7"/>
      <c r="MB91" s="7"/>
      <c r="MC91" s="7"/>
      <c r="MD91" s="7"/>
      <c r="ME91" s="7"/>
      <c r="MF91" s="7"/>
      <c r="MG91" s="7"/>
      <c r="MH91" s="7"/>
      <c r="MI91" s="7"/>
      <c r="MJ91" s="7"/>
      <c r="MK91" s="7"/>
      <c r="ML91" s="7"/>
      <c r="MM91" s="7"/>
      <c r="MN91" s="7"/>
      <c r="MO91" s="7"/>
      <c r="MP91" s="7"/>
      <c r="MQ91" s="7"/>
      <c r="MR91" s="7"/>
      <c r="MS91" s="7"/>
      <c r="MT91" s="7"/>
      <c r="MU91" s="7"/>
      <c r="MV91" s="7"/>
      <c r="MW91" s="7"/>
      <c r="MX91" s="7"/>
      <c r="MY91" s="7"/>
      <c r="MZ91" s="7"/>
      <c r="NA91" s="7"/>
      <c r="NB91" s="7"/>
      <c r="NC91" s="7"/>
      <c r="ND91" s="7"/>
      <c r="NE91" s="7"/>
      <c r="NF91" s="7"/>
      <c r="NG91" s="7"/>
      <c r="NH91" s="7"/>
      <c r="NI91" s="7"/>
      <c r="NJ91" s="7"/>
      <c r="NK91" s="7"/>
      <c r="NL91" s="7"/>
      <c r="NM91" s="7"/>
      <c r="NN91" s="7"/>
      <c r="NO91" s="7"/>
      <c r="NP91" s="7"/>
      <c r="NQ91" s="7"/>
      <c r="NR91" s="7"/>
      <c r="NS91" s="7"/>
      <c r="NT91" s="7"/>
      <c r="NU91" s="7"/>
      <c r="NV91" s="7"/>
      <c r="NW91" s="7"/>
      <c r="NX91" s="7"/>
      <c r="NY91" s="7"/>
      <c r="NZ91" s="7"/>
      <c r="OA91" s="7"/>
      <c r="OB91" s="7"/>
      <c r="OC91" s="7"/>
      <c r="OD91" s="7"/>
      <c r="OE91" s="7"/>
      <c r="OF91" s="7"/>
      <c r="OG91" s="7"/>
      <c r="OH91" s="7"/>
      <c r="OI91" s="7"/>
      <c r="OJ91" s="7"/>
      <c r="OK91" s="7"/>
      <c r="OL91" s="7"/>
      <c r="OM91" s="7"/>
      <c r="ON91" s="7"/>
      <c r="OO91" s="7"/>
      <c r="OP91" s="7"/>
      <c r="OQ91" s="7"/>
      <c r="OR91" s="7"/>
      <c r="OS91" s="7"/>
      <c r="OT91" s="7"/>
      <c r="OU91" s="7"/>
      <c r="OV91" s="7"/>
      <c r="OW91" s="7"/>
      <c r="OX91" s="7"/>
      <c r="OY91" s="7"/>
      <c r="OZ91" s="7"/>
      <c r="PA91" s="7"/>
      <c r="PB91" s="7"/>
      <c r="PC91" s="7"/>
      <c r="PD91" s="7"/>
      <c r="PE91" s="7"/>
      <c r="PF91" s="7"/>
      <c r="PG91" s="7"/>
      <c r="PH91" s="7"/>
      <c r="PI91" s="7"/>
      <c r="PJ91" s="7"/>
      <c r="PK91" s="7"/>
      <c r="PL91" s="7"/>
      <c r="PM91" s="7"/>
      <c r="PN91" s="7"/>
      <c r="PO91" s="7"/>
      <c r="PP91" s="7"/>
      <c r="PQ91" s="7"/>
      <c r="PR91" s="7"/>
      <c r="PS91" s="7"/>
      <c r="PT91" s="7"/>
      <c r="PU91" s="7"/>
      <c r="PV91" s="7"/>
      <c r="PW91" s="7"/>
      <c r="PX91" s="7"/>
      <c r="PY91" s="7"/>
      <c r="PZ91" s="7"/>
      <c r="QA91" s="7"/>
      <c r="QB91" s="7"/>
      <c r="QC91" s="7"/>
      <c r="QD91" s="7"/>
      <c r="QE91" s="7"/>
      <c r="QF91" s="7"/>
      <c r="QG91" s="7"/>
      <c r="QH91" s="7"/>
      <c r="QI91" s="7"/>
      <c r="QJ91" s="7"/>
      <c r="QK91" s="7"/>
      <c r="QL91" s="7"/>
      <c r="QM91" s="7"/>
      <c r="QN91" s="7"/>
      <c r="QO91" s="7"/>
      <c r="QP91" s="7"/>
      <c r="QQ91" s="7"/>
      <c r="QR91" s="7"/>
      <c r="QS91" s="7"/>
      <c r="QT91" s="7"/>
      <c r="QU91" s="7"/>
      <c r="QV91" s="7"/>
      <c r="QW91" s="7"/>
      <c r="QX91" s="7"/>
      <c r="QY91" s="7"/>
      <c r="QZ91" s="7"/>
      <c r="RA91" s="7"/>
      <c r="RB91" s="7"/>
      <c r="RC91" s="7"/>
      <c r="RD91" s="7"/>
      <c r="RE91" s="7"/>
      <c r="RF91" s="7"/>
      <c r="RG91" s="7"/>
      <c r="RH91" s="7"/>
      <c r="RI91" s="7"/>
      <c r="RJ91" s="7"/>
      <c r="RK91" s="7"/>
      <c r="RL91" s="7"/>
      <c r="RM91" s="7"/>
      <c r="RN91" s="7"/>
      <c r="RO91" s="7"/>
      <c r="RP91" s="7"/>
      <c r="RQ91" s="7"/>
      <c r="RR91" s="7"/>
      <c r="RS91" s="7"/>
      <c r="RT91" s="7"/>
      <c r="RU91" s="7"/>
      <c r="RV91" s="7"/>
      <c r="RW91" s="7"/>
      <c r="RX91" s="7"/>
      <c r="RY91" s="7"/>
      <c r="RZ91" s="7"/>
      <c r="SA91" s="7"/>
      <c r="SB91" s="7"/>
      <c r="SC91" s="7"/>
      <c r="SD91" s="7"/>
      <c r="SE91" s="7"/>
      <c r="SF91" s="7"/>
      <c r="SG91" s="7"/>
      <c r="SH91" s="7"/>
      <c r="SI91" s="7"/>
      <c r="SJ91" s="7"/>
      <c r="SK91" s="7"/>
      <c r="SL91" s="7"/>
      <c r="SM91" s="7"/>
      <c r="SN91" s="7"/>
      <c r="SO91" s="7"/>
      <c r="SP91" s="7"/>
      <c r="SQ91" s="7"/>
      <c r="SR91" s="7"/>
      <c r="SS91" s="7"/>
      <c r="ST91" s="7"/>
      <c r="SU91" s="7"/>
      <c r="SV91" s="7"/>
      <c r="SW91" s="7"/>
      <c r="SX91" s="7"/>
      <c r="SY91" s="7"/>
      <c r="SZ91" s="7"/>
      <c r="TA91" s="7"/>
      <c r="TB91" s="7"/>
      <c r="TC91" s="7"/>
      <c r="TD91" s="7"/>
      <c r="TE91" s="7"/>
      <c r="TF91" s="7"/>
      <c r="TG91" s="7"/>
      <c r="TH91" s="7"/>
      <c r="TI91" s="7"/>
      <c r="TJ91" s="7"/>
      <c r="TK91" s="7"/>
      <c r="TL91" s="7"/>
      <c r="TM91" s="7"/>
      <c r="TN91" s="7"/>
      <c r="TO91" s="7"/>
      <c r="TP91" s="7"/>
      <c r="TQ91" s="7"/>
      <c r="TR91" s="7"/>
      <c r="TS91" s="7"/>
      <c r="TT91" s="7"/>
      <c r="TU91" s="7"/>
      <c r="TV91" s="7"/>
      <c r="TW91" s="7"/>
      <c r="TX91" s="7"/>
      <c r="TY91" s="7"/>
      <c r="TZ91" s="7"/>
      <c r="UA91" s="7"/>
      <c r="UB91" s="7"/>
      <c r="UC91" s="7"/>
      <c r="UD91" s="7"/>
      <c r="UE91" s="7"/>
      <c r="UF91" s="7"/>
      <c r="UG91" s="7"/>
      <c r="UH91" s="7"/>
      <c r="UI91" s="7"/>
      <c r="UJ91" s="7"/>
      <c r="UK91" s="7"/>
      <c r="UL91" s="7"/>
      <c r="UM91" s="7"/>
      <c r="UN91" s="7"/>
      <c r="UO91" s="7"/>
      <c r="UP91" s="7"/>
      <c r="UQ91" s="7"/>
      <c r="UR91" s="7"/>
      <c r="US91" s="7"/>
      <c r="UT91" s="7"/>
      <c r="UU91" s="7"/>
      <c r="UV91" s="7"/>
      <c r="UW91" s="7"/>
      <c r="UX91" s="7"/>
      <c r="UY91" s="7"/>
      <c r="UZ91" s="7"/>
      <c r="VA91" s="7"/>
      <c r="VB91" s="7"/>
      <c r="VC91" s="7"/>
      <c r="VD91" s="7"/>
      <c r="VE91" s="7"/>
      <c r="VF91" s="7"/>
      <c r="VG91" s="7"/>
      <c r="VH91" s="7"/>
      <c r="VI91" s="7"/>
      <c r="VJ91" s="7"/>
      <c r="VK91" s="7"/>
      <c r="VL91" s="7"/>
      <c r="VM91" s="7"/>
      <c r="VN91" s="7"/>
      <c r="VO91" s="7"/>
      <c r="VP91" s="7"/>
      <c r="VQ91" s="7"/>
      <c r="VR91" s="7"/>
      <c r="VS91" s="7"/>
      <c r="VT91" s="7"/>
      <c r="VU91" s="7"/>
      <c r="VV91" s="7"/>
      <c r="VW91" s="7"/>
      <c r="VX91" s="7"/>
      <c r="VY91" s="7"/>
      <c r="VZ91" s="7"/>
      <c r="WA91" s="7"/>
      <c r="WB91" s="7"/>
      <c r="WC91" s="7"/>
      <c r="WD91" s="7"/>
      <c r="WE91" s="7"/>
      <c r="WF91" s="7"/>
      <c r="WG91" s="7"/>
      <c r="WH91" s="7"/>
      <c r="WI91" s="7"/>
      <c r="WJ91" s="7"/>
      <c r="WK91" s="7"/>
      <c r="WL91" s="7"/>
      <c r="WM91" s="7"/>
      <c r="WN91" s="7"/>
      <c r="WO91" s="7"/>
      <c r="WP91" s="7"/>
      <c r="WQ91" s="7"/>
      <c r="WR91" s="7"/>
      <c r="WS91" s="7"/>
      <c r="WT91" s="7"/>
      <c r="WU91" s="7"/>
      <c r="WV91" s="7"/>
      <c r="WW91" s="7"/>
      <c r="WX91" s="7"/>
      <c r="WY91" s="7"/>
      <c r="WZ91" s="7"/>
      <c r="XA91" s="7"/>
      <c r="XB91" s="7"/>
      <c r="XC91" s="7"/>
      <c r="XD91" s="7"/>
      <c r="XE91" s="7"/>
      <c r="XF91" s="7"/>
      <c r="XG91" s="7"/>
      <c r="XH91" s="7"/>
      <c r="XI91" s="7"/>
      <c r="XJ91" s="7"/>
      <c r="XK91" s="7"/>
      <c r="XL91" s="7"/>
      <c r="XM91" s="7"/>
      <c r="XN91" s="7"/>
      <c r="XO91" s="7"/>
      <c r="XP91" s="7"/>
      <c r="XQ91" s="7"/>
      <c r="XR91" s="7"/>
      <c r="XS91" s="7"/>
      <c r="XT91" s="7"/>
      <c r="XU91" s="7"/>
      <c r="XV91" s="7"/>
      <c r="XW91" s="7"/>
      <c r="XX91" s="7"/>
      <c r="XY91" s="7"/>
      <c r="XZ91" s="7"/>
      <c r="YA91" s="7"/>
      <c r="YB91" s="7"/>
      <c r="YC91" s="7"/>
      <c r="YD91" s="7"/>
      <c r="YE91" s="7"/>
      <c r="YF91" s="7"/>
      <c r="YG91" s="7"/>
      <c r="YH91" s="7"/>
      <c r="YI91" s="7"/>
      <c r="YJ91" s="7"/>
      <c r="YK91" s="7"/>
      <c r="YL91" s="7"/>
      <c r="YM91" s="7"/>
      <c r="YN91" s="7"/>
      <c r="YO91" s="7"/>
      <c r="YP91" s="7"/>
      <c r="YQ91" s="7"/>
      <c r="YR91" s="7"/>
      <c r="YS91" s="7"/>
      <c r="YT91" s="7"/>
      <c r="YU91" s="7"/>
      <c r="YV91" s="7"/>
      <c r="YW91" s="7"/>
      <c r="YX91" s="7"/>
      <c r="YY91" s="7"/>
      <c r="YZ91" s="7"/>
      <c r="ZA91" s="7"/>
      <c r="ZB91" s="7"/>
      <c r="ZC91" s="7"/>
      <c r="ZD91" s="7"/>
      <c r="ZE91" s="7"/>
      <c r="ZF91" s="7"/>
      <c r="ZG91" s="7"/>
      <c r="ZH91" s="7"/>
      <c r="ZI91" s="7"/>
      <c r="ZJ91" s="7"/>
      <c r="ZK91" s="7"/>
      <c r="ZL91" s="7"/>
      <c r="ZM91" s="7"/>
      <c r="ZN91" s="7"/>
      <c r="ZO91" s="7"/>
      <c r="ZP91" s="7"/>
      <c r="ZQ91" s="7"/>
      <c r="ZR91" s="7"/>
      <c r="ZS91" s="7"/>
      <c r="ZT91" s="7"/>
      <c r="ZU91" s="7"/>
      <c r="ZV91" s="7"/>
      <c r="ZW91" s="7"/>
      <c r="ZX91" s="7"/>
      <c r="ZY91" s="7"/>
      <c r="ZZ91" s="7"/>
      <c r="AAA91" s="7"/>
      <c r="AAB91" s="7"/>
      <c r="AAC91" s="7"/>
      <c r="AAD91" s="7"/>
      <c r="AAE91" s="7"/>
      <c r="AAF91" s="7"/>
      <c r="AAG91" s="7"/>
      <c r="AAH91" s="7"/>
      <c r="AAI91" s="7"/>
      <c r="AAJ91" s="7"/>
      <c r="AAK91" s="7"/>
      <c r="AAL91" s="7"/>
      <c r="AAM91" s="7"/>
      <c r="AAN91" s="7"/>
      <c r="AAO91" s="7"/>
      <c r="AAP91" s="7"/>
      <c r="AAQ91" s="7"/>
      <c r="AAR91" s="7"/>
      <c r="AAS91" s="7"/>
      <c r="AAT91" s="7"/>
      <c r="AAU91" s="7"/>
      <c r="AAV91" s="7"/>
      <c r="AAW91" s="7"/>
      <c r="AAX91" s="7"/>
      <c r="AAY91" s="7"/>
      <c r="AAZ91" s="7"/>
      <c r="ABA91" s="7"/>
      <c r="ABB91" s="7"/>
      <c r="ABC91" s="7"/>
      <c r="ABD91" s="7"/>
      <c r="ABE91" s="7"/>
      <c r="ABF91" s="7"/>
      <c r="ABG91" s="7"/>
      <c r="ABH91" s="7"/>
      <c r="ABI91" s="7"/>
      <c r="ABJ91" s="7"/>
      <c r="ABK91" s="7"/>
      <c r="ABL91" s="7"/>
      <c r="ABM91" s="7"/>
      <c r="ABN91" s="7"/>
      <c r="ABO91" s="7"/>
      <c r="ABP91" s="7"/>
      <c r="ABQ91" s="7"/>
      <c r="ABR91" s="7"/>
      <c r="ABS91" s="7"/>
      <c r="ABT91" s="7"/>
      <c r="ABU91" s="7"/>
      <c r="ABV91" s="7"/>
      <c r="ABW91" s="7"/>
      <c r="ABX91" s="7"/>
      <c r="ABY91" s="7"/>
      <c r="ABZ91" s="7"/>
      <c r="ACA91" s="7"/>
      <c r="ACB91" s="7"/>
      <c r="ACC91" s="7"/>
      <c r="ACD91" s="7"/>
      <c r="ACE91" s="7"/>
      <c r="ACF91" s="7"/>
      <c r="ACG91" s="7"/>
      <c r="ACH91" s="7"/>
      <c r="ACI91" s="7"/>
      <c r="ACJ91" s="7"/>
      <c r="ACK91" s="7"/>
      <c r="ACL91" s="7"/>
      <c r="ACM91" s="7"/>
      <c r="ACN91" s="7"/>
      <c r="ACO91" s="7"/>
      <c r="ACP91" s="7"/>
      <c r="ACQ91" s="7"/>
      <c r="ACR91" s="7"/>
      <c r="ACS91" s="7"/>
      <c r="ACT91" s="7"/>
      <c r="ACU91" s="7"/>
      <c r="ACV91" s="7"/>
      <c r="ACW91" s="7"/>
      <c r="ACX91" s="7"/>
      <c r="ACY91" s="7"/>
      <c r="ACZ91" s="7"/>
      <c r="ADA91" s="7"/>
      <c r="ADB91" s="7"/>
      <c r="ADC91" s="7"/>
      <c r="ADD91" s="7"/>
      <c r="ADE91" s="7"/>
      <c r="ADF91" s="7"/>
      <c r="ADG91" s="7"/>
      <c r="ADH91" s="7"/>
      <c r="ADI91" s="7"/>
      <c r="ADJ91" s="7"/>
      <c r="ADK91" s="7"/>
      <c r="ADL91" s="7"/>
      <c r="ADM91" s="7"/>
      <c r="ADN91" s="7"/>
      <c r="ADO91" s="7"/>
      <c r="ADP91" s="7"/>
      <c r="ADQ91" s="7"/>
      <c r="ADR91" s="7"/>
      <c r="ADS91" s="7"/>
      <c r="ADT91" s="7"/>
      <c r="ADU91" s="7"/>
      <c r="ADV91" s="7"/>
      <c r="ADW91" s="7"/>
      <c r="ADX91" s="7"/>
      <c r="ADY91" s="7"/>
      <c r="ADZ91" s="7"/>
      <c r="AEA91" s="7"/>
      <c r="AEB91" s="7"/>
      <c r="AEC91" s="7"/>
      <c r="AED91" s="7"/>
      <c r="AEE91" s="7"/>
      <c r="AEF91" s="7"/>
      <c r="AEG91" s="7"/>
      <c r="AEH91" s="7"/>
      <c r="AEI91" s="7"/>
      <c r="AEJ91" s="7"/>
      <c r="AEK91" s="7"/>
      <c r="AEL91" s="7"/>
      <c r="AEM91" s="7"/>
      <c r="AEN91" s="7"/>
      <c r="AEO91" s="7"/>
      <c r="AEP91" s="7"/>
      <c r="AEQ91" s="7"/>
      <c r="AER91" s="7"/>
      <c r="AES91" s="7"/>
      <c r="AET91" s="7"/>
      <c r="AEU91" s="7"/>
      <c r="AEV91" s="7"/>
      <c r="AEW91" s="7"/>
      <c r="AEX91" s="7"/>
      <c r="AEY91" s="7"/>
      <c r="AEZ91" s="7"/>
      <c r="AFA91" s="7"/>
      <c r="AFB91" s="7"/>
      <c r="AFC91" s="7"/>
      <c r="AFD91" s="7"/>
      <c r="AFE91" s="7"/>
      <c r="AFF91" s="7"/>
      <c r="AFG91" s="7"/>
      <c r="AFH91" s="7"/>
      <c r="AFI91" s="7"/>
      <c r="AFJ91" s="7"/>
      <c r="AFK91" s="7"/>
      <c r="AFL91" s="7"/>
      <c r="AFM91" s="7"/>
      <c r="AFN91" s="7"/>
      <c r="AFO91" s="7"/>
      <c r="AFP91" s="7"/>
      <c r="AFQ91" s="7"/>
      <c r="AFR91" s="7"/>
      <c r="AFS91" s="7"/>
      <c r="AFT91" s="7"/>
      <c r="AFU91" s="7"/>
      <c r="AFV91" s="7"/>
      <c r="AFW91" s="7"/>
      <c r="AFX91" s="7"/>
      <c r="AFY91" s="7"/>
      <c r="AFZ91" s="7"/>
      <c r="AGA91" s="7"/>
      <c r="AGB91" s="7"/>
      <c r="AGC91" s="7"/>
      <c r="AGD91" s="7"/>
      <c r="AGE91" s="7"/>
      <c r="AGF91" s="7"/>
      <c r="AGG91" s="7"/>
      <c r="AGH91" s="7"/>
      <c r="AGI91" s="7"/>
      <c r="AGJ91" s="7"/>
      <c r="AGK91" s="7"/>
      <c r="AGL91" s="7"/>
      <c r="AGM91" s="7"/>
      <c r="AGN91" s="7"/>
      <c r="AGO91" s="7"/>
      <c r="AGP91" s="7"/>
      <c r="AGQ91" s="7"/>
      <c r="AGR91" s="7"/>
      <c r="AGS91" s="7"/>
      <c r="AGT91" s="7"/>
      <c r="AGU91" s="7"/>
      <c r="AGV91" s="7"/>
      <c r="AGW91" s="7"/>
      <c r="AGX91" s="7"/>
      <c r="AGY91" s="7"/>
      <c r="AGZ91" s="7"/>
      <c r="AHA91" s="7"/>
      <c r="AHB91" s="7"/>
      <c r="AHC91" s="7"/>
      <c r="AHD91" s="7"/>
      <c r="AHE91" s="7"/>
      <c r="AHF91" s="7"/>
      <c r="AHG91" s="7"/>
      <c r="AHH91" s="7"/>
      <c r="AHI91" s="7"/>
      <c r="AHJ91" s="7"/>
      <c r="AHK91" s="7"/>
      <c r="AHL91" s="7"/>
      <c r="AHM91" s="7"/>
      <c r="AHN91" s="7"/>
      <c r="AHO91" s="7"/>
      <c r="AHP91" s="7"/>
      <c r="AHQ91" s="7"/>
      <c r="AHR91" s="7"/>
      <c r="AHS91" s="7"/>
      <c r="AHT91" s="7"/>
      <c r="AHU91" s="7"/>
      <c r="AHV91" s="7"/>
      <c r="AHW91" s="7"/>
      <c r="AHX91" s="7"/>
      <c r="AHY91" s="7"/>
      <c r="AHZ91" s="7"/>
      <c r="AIA91" s="7"/>
      <c r="AIB91" s="7"/>
      <c r="AIC91" s="7"/>
      <c r="AID91" s="7"/>
      <c r="AIE91" s="7"/>
      <c r="AIF91" s="7"/>
      <c r="AIG91" s="7"/>
      <c r="AIH91" s="7"/>
      <c r="AII91" s="7"/>
      <c r="AIJ91" s="7"/>
      <c r="AIK91" s="7"/>
      <c r="AIL91" s="7"/>
      <c r="AIM91" s="7"/>
      <c r="AIN91" s="7"/>
      <c r="AIO91" s="7"/>
      <c r="AIP91" s="7"/>
      <c r="AIQ91" s="7"/>
      <c r="AIR91" s="7"/>
      <c r="AIS91" s="7"/>
      <c r="AIT91" s="7"/>
      <c r="AIU91" s="7"/>
      <c r="AIV91" s="7"/>
      <c r="AIW91" s="7"/>
      <c r="AIX91" s="7"/>
      <c r="AIY91" s="7"/>
      <c r="AIZ91" s="7"/>
      <c r="AJA91" s="7"/>
      <c r="AJB91" s="7"/>
      <c r="AJC91" s="7"/>
      <c r="AJD91" s="7"/>
      <c r="AJE91" s="7"/>
      <c r="AJF91" s="7"/>
      <c r="AJG91" s="7"/>
      <c r="AJH91" s="7"/>
      <c r="AJI91" s="7"/>
      <c r="AJJ91" s="7"/>
      <c r="AJK91" s="7"/>
      <c r="AJL91" s="7"/>
      <c r="AJM91" s="7"/>
      <c r="AJN91" s="7"/>
      <c r="AJO91" s="7"/>
      <c r="AJP91" s="7"/>
      <c r="AJQ91" s="7"/>
      <c r="AJR91" s="7"/>
      <c r="AJS91" s="7"/>
      <c r="AJT91" s="7"/>
      <c r="AJU91" s="7"/>
      <c r="AJV91" s="7"/>
      <c r="AJW91" s="7"/>
      <c r="AJX91" s="7"/>
      <c r="AJY91" s="7"/>
      <c r="AJZ91" s="7"/>
      <c r="AKA91" s="7"/>
      <c r="AKB91" s="7"/>
      <c r="AKC91" s="7"/>
      <c r="AKD91" s="7"/>
      <c r="AKE91" s="7"/>
      <c r="AKF91" s="7"/>
      <c r="AKG91" s="7"/>
      <c r="AKH91" s="7"/>
      <c r="AKI91" s="7"/>
      <c r="AKJ91" s="7"/>
      <c r="AKK91" s="7"/>
      <c r="AKL91" s="7"/>
      <c r="AKM91" s="7"/>
      <c r="AKN91" s="7"/>
      <c r="AKO91" s="7"/>
      <c r="AKP91" s="7"/>
      <c r="AKQ91" s="7"/>
      <c r="AKR91" s="7"/>
      <c r="AKS91" s="7"/>
      <c r="AKT91" s="7"/>
      <c r="AKU91" s="7"/>
      <c r="AKV91" s="7"/>
      <c r="AKW91" s="7"/>
      <c r="AKX91" s="7"/>
      <c r="AKY91" s="7"/>
      <c r="AKZ91" s="7"/>
      <c r="ALA91" s="7"/>
      <c r="ALB91" s="7"/>
      <c r="ALC91" s="7"/>
      <c r="ALD91" s="7"/>
      <c r="ALE91" s="7"/>
      <c r="ALF91" s="7"/>
      <c r="ALG91" s="7"/>
      <c r="ALH91" s="7"/>
      <c r="ALI91" s="7"/>
      <c r="ALJ91" s="7"/>
      <c r="ALK91" s="7"/>
      <c r="ALL91" s="7"/>
      <c r="ALM91" s="7"/>
      <c r="ALN91" s="7"/>
      <c r="ALO91" s="7"/>
      <c r="ALP91" s="7"/>
      <c r="ALQ91" s="7"/>
      <c r="ALR91" s="7"/>
      <c r="ALS91" s="7"/>
      <c r="ALT91" s="7"/>
      <c r="ALU91" s="7"/>
      <c r="ALV91" s="7"/>
      <c r="ALW91" s="7"/>
      <c r="ALX91" s="7"/>
      <c r="ALY91" s="7"/>
      <c r="ALZ91" s="7"/>
      <c r="AMA91" s="7"/>
      <c r="AMB91" s="7"/>
      <c r="AMC91" s="7"/>
      <c r="AMD91" s="7"/>
      <c r="AME91" s="7"/>
      <c r="AMF91" s="7"/>
      <c r="AMG91" s="7"/>
      <c r="AMH91" s="7"/>
      <c r="AMI91" s="7"/>
      <c r="AMJ91" s="7"/>
      <c r="AMK91" s="7"/>
      <c r="AML91" s="7"/>
      <c r="AMM91" s="7"/>
      <c r="AMN91" s="7"/>
      <c r="AMO91" s="7"/>
      <c r="AMP91" s="7"/>
      <c r="AMQ91" s="7"/>
      <c r="AMR91" s="7"/>
      <c r="AMS91" s="7"/>
      <c r="AMT91" s="7"/>
      <c r="AMU91" s="7"/>
      <c r="AMV91" s="7"/>
      <c r="AMW91" s="7"/>
      <c r="AMX91" s="7"/>
      <c r="AMY91" s="7"/>
      <c r="AMZ91" s="7"/>
      <c r="ANA91" s="7"/>
      <c r="ANB91" s="7"/>
      <c r="ANC91" s="7"/>
      <c r="AND91" s="7"/>
      <c r="ANE91" s="7"/>
      <c r="ANF91" s="7"/>
      <c r="ANG91" s="7"/>
      <c r="ANH91" s="7"/>
      <c r="ANI91" s="7"/>
      <c r="ANJ91" s="7"/>
      <c r="ANK91" s="7"/>
      <c r="ANL91" s="7"/>
      <c r="ANM91" s="7"/>
      <c r="ANN91" s="7"/>
      <c r="ANO91" s="7"/>
      <c r="ANP91" s="7"/>
      <c r="ANQ91" s="7"/>
      <c r="ANR91" s="7"/>
      <c r="ANS91" s="7"/>
      <c r="ANT91" s="7"/>
      <c r="ANU91" s="7"/>
      <c r="ANV91" s="7"/>
      <c r="ANW91" s="7"/>
      <c r="ANX91" s="7"/>
      <c r="ANY91" s="7"/>
      <c r="ANZ91" s="7"/>
      <c r="AOA91" s="7"/>
      <c r="AOB91" s="7"/>
      <c r="AOC91" s="7"/>
      <c r="AOD91" s="7"/>
      <c r="AOE91" s="7"/>
      <c r="AOF91" s="7"/>
      <c r="AOG91" s="7"/>
      <c r="AOH91" s="7"/>
      <c r="AOI91" s="7"/>
      <c r="AOJ91" s="7"/>
      <c r="AOK91" s="7"/>
      <c r="AOL91" s="7"/>
      <c r="AOM91" s="7"/>
      <c r="AON91" s="7"/>
      <c r="AOO91" s="7"/>
      <c r="AOP91" s="7"/>
      <c r="AOQ91" s="7"/>
      <c r="AOR91" s="7"/>
      <c r="AOS91" s="7"/>
      <c r="AOT91" s="7"/>
      <c r="AOU91" s="7"/>
      <c r="AOV91" s="7"/>
      <c r="AOW91" s="7"/>
      <c r="AOX91" s="7"/>
      <c r="AOY91" s="7"/>
      <c r="AOZ91" s="7"/>
      <c r="APA91" s="7"/>
      <c r="APB91" s="7"/>
      <c r="APC91" s="7"/>
      <c r="APD91" s="7"/>
      <c r="APE91" s="7"/>
      <c r="APF91" s="7"/>
      <c r="APG91" s="7"/>
      <c r="APH91" s="7"/>
      <c r="API91" s="7"/>
      <c r="APJ91" s="7"/>
      <c r="APK91" s="7"/>
      <c r="APL91" s="7"/>
      <c r="APM91" s="7"/>
      <c r="APN91" s="7"/>
      <c r="APO91" s="7"/>
      <c r="APP91" s="7"/>
      <c r="APQ91" s="7"/>
      <c r="APR91" s="7"/>
      <c r="APS91" s="7"/>
      <c r="APT91" s="7"/>
      <c r="APU91" s="7"/>
      <c r="APV91" s="7"/>
      <c r="APW91" s="7"/>
      <c r="APX91" s="7"/>
      <c r="APY91" s="7"/>
      <c r="APZ91" s="7"/>
      <c r="AQA91" s="7"/>
      <c r="AQB91" s="7"/>
      <c r="AQC91" s="7"/>
      <c r="AQD91" s="7"/>
      <c r="AQE91" s="7"/>
      <c r="AQF91" s="7"/>
      <c r="AQG91" s="7"/>
      <c r="AQH91" s="7"/>
      <c r="AQI91" s="7"/>
      <c r="AQJ91" s="7"/>
      <c r="AQK91" s="7"/>
      <c r="AQL91" s="7"/>
      <c r="AQM91" s="7"/>
      <c r="AQN91" s="7"/>
      <c r="AQO91" s="7"/>
      <c r="AQP91" s="7"/>
      <c r="AQQ91" s="7"/>
      <c r="AQR91" s="7"/>
      <c r="AQS91" s="7"/>
      <c r="AQT91" s="7"/>
      <c r="AQU91" s="7"/>
      <c r="AQV91" s="7"/>
      <c r="AQW91" s="7"/>
      <c r="AQX91" s="7"/>
      <c r="AQY91" s="7"/>
      <c r="AQZ91" s="7"/>
      <c r="ARA91" s="7"/>
      <c r="ARB91" s="7"/>
      <c r="ARC91" s="7"/>
      <c r="ARD91" s="7"/>
      <c r="ARE91" s="7"/>
      <c r="ARF91" s="7"/>
      <c r="ARG91" s="7"/>
      <c r="ARH91" s="7"/>
      <c r="ARI91" s="7"/>
      <c r="ARJ91" s="7"/>
      <c r="ARK91" s="7"/>
      <c r="ARL91" s="7"/>
      <c r="ARM91" s="7"/>
      <c r="ARN91" s="7"/>
      <c r="ARO91" s="7"/>
      <c r="ARP91" s="7"/>
      <c r="ARQ91" s="7"/>
      <c r="ARR91" s="7"/>
      <c r="ARS91" s="7"/>
      <c r="ART91" s="7"/>
      <c r="ARU91" s="7"/>
      <c r="ARV91" s="7"/>
      <c r="ARW91" s="7"/>
      <c r="ARX91" s="7"/>
      <c r="ARY91" s="7"/>
      <c r="ARZ91" s="7"/>
      <c r="ASA91" s="7"/>
      <c r="ASB91" s="7"/>
      <c r="ASC91" s="7"/>
      <c r="ASD91" s="7"/>
      <c r="ASE91" s="7"/>
      <c r="ASF91" s="7"/>
      <c r="ASG91" s="7"/>
      <c r="ASH91" s="7"/>
      <c r="ASI91" s="7"/>
      <c r="ASJ91" s="7"/>
      <c r="ASK91" s="7"/>
      <c r="ASL91" s="7"/>
      <c r="ASM91" s="7"/>
      <c r="ASN91" s="7"/>
      <c r="ASO91" s="7"/>
      <c r="ASP91" s="7"/>
      <c r="ASQ91" s="7"/>
      <c r="ASR91" s="7"/>
      <c r="ASS91" s="7"/>
      <c r="AST91" s="7"/>
      <c r="ASU91" s="7"/>
      <c r="ASV91" s="7"/>
      <c r="ASW91" s="7"/>
      <c r="ASX91" s="7"/>
      <c r="ASY91" s="7"/>
      <c r="ASZ91" s="7"/>
      <c r="ATA91" s="7"/>
      <c r="ATB91" s="7"/>
      <c r="ATC91" s="7"/>
      <c r="ATD91" s="7"/>
      <c r="ATE91" s="7"/>
      <c r="ATF91" s="7"/>
      <c r="ATG91" s="7"/>
      <c r="ATH91" s="7"/>
      <c r="ATI91" s="7"/>
      <c r="ATJ91" s="7"/>
      <c r="ATK91" s="7"/>
      <c r="ATL91" s="7"/>
      <c r="ATM91" s="7"/>
      <c r="ATN91" s="7"/>
      <c r="ATO91" s="7"/>
      <c r="ATP91" s="7"/>
      <c r="ATQ91" s="7"/>
      <c r="ATR91" s="7"/>
      <c r="ATS91" s="7"/>
      <c r="ATT91" s="7"/>
      <c r="ATU91" s="7"/>
      <c r="ATV91" s="7"/>
      <c r="ATW91" s="7"/>
      <c r="ATX91" s="7"/>
      <c r="ATY91" s="7"/>
      <c r="ATZ91" s="7"/>
      <c r="AUA91" s="7"/>
      <c r="AUB91" s="7"/>
      <c r="AUC91" s="7"/>
      <c r="AUD91" s="7"/>
      <c r="AUE91" s="7"/>
      <c r="AUF91" s="7"/>
      <c r="AUG91" s="7"/>
      <c r="AUH91" s="7"/>
      <c r="AUI91" s="7"/>
      <c r="AUJ91" s="7"/>
      <c r="AUK91" s="7"/>
      <c r="AUL91" s="7"/>
      <c r="AUM91" s="7"/>
      <c r="AUN91" s="7"/>
      <c r="AUO91" s="7"/>
      <c r="AUP91" s="7"/>
      <c r="AUQ91" s="7"/>
      <c r="AUR91" s="7"/>
      <c r="AUS91" s="7"/>
      <c r="AUT91" s="7"/>
      <c r="AUU91" s="7"/>
      <c r="AUV91" s="7"/>
      <c r="AUW91" s="7"/>
      <c r="AUX91" s="7"/>
      <c r="AUY91" s="7"/>
      <c r="AUZ91" s="7"/>
      <c r="AVA91" s="7"/>
      <c r="AVB91" s="7"/>
      <c r="AVC91" s="7"/>
      <c r="AVD91" s="7"/>
      <c r="AVE91" s="7"/>
      <c r="AVF91" s="7"/>
      <c r="AVG91" s="7"/>
      <c r="AVH91" s="7"/>
      <c r="AVI91" s="7"/>
      <c r="AVJ91" s="7"/>
      <c r="AVK91" s="7"/>
      <c r="AVL91" s="7"/>
      <c r="AVM91" s="7"/>
      <c r="AVN91" s="7"/>
      <c r="AVO91" s="7"/>
      <c r="AVP91" s="7"/>
      <c r="AVQ91" s="7"/>
      <c r="AVR91" s="7"/>
      <c r="AVS91" s="7"/>
      <c r="AVT91" s="7"/>
      <c r="AVU91" s="7"/>
      <c r="AVV91" s="7"/>
      <c r="AVW91" s="7"/>
      <c r="AVX91" s="7"/>
      <c r="AVY91" s="7"/>
      <c r="AVZ91" s="7"/>
      <c r="AWA91" s="7"/>
      <c r="AWB91" s="7"/>
      <c r="AWC91" s="7"/>
      <c r="AWD91" s="7"/>
      <c r="AWE91" s="7"/>
      <c r="AWF91" s="7"/>
      <c r="AWG91" s="7"/>
      <c r="AWH91" s="7"/>
      <c r="AWI91" s="7"/>
      <c r="AWJ91" s="7"/>
      <c r="AWK91" s="7"/>
      <c r="AWL91" s="7"/>
      <c r="AWM91" s="7"/>
      <c r="AWN91" s="7"/>
      <c r="AWO91" s="7"/>
      <c r="AWP91" s="7"/>
      <c r="AWQ91" s="7"/>
      <c r="AWR91" s="7"/>
      <c r="AWS91" s="7"/>
      <c r="AWT91" s="7"/>
      <c r="AWU91" s="7"/>
      <c r="AWV91" s="7"/>
    </row>
    <row r="92" spans="1:1296" ht="18.75" x14ac:dyDescent="0.25">
      <c r="A92" s="1" t="s">
        <v>45</v>
      </c>
      <c r="B92" s="25">
        <v>136</v>
      </c>
      <c r="C92" s="20">
        <f>B92*C94/B94</f>
        <v>344.01409691629954</v>
      </c>
    </row>
    <row r="93" spans="1:1296" ht="18.75" x14ac:dyDescent="0.25">
      <c r="A93" s="1" t="s">
        <v>46</v>
      </c>
      <c r="B93" s="25">
        <v>91</v>
      </c>
      <c r="C93" s="20">
        <f>B93*C94/B94</f>
        <v>230.18590308370042</v>
      </c>
      <c r="F93" s="7"/>
    </row>
    <row r="94" spans="1:1296" s="5" customFormat="1" ht="18.75" x14ac:dyDescent="0.25">
      <c r="A94" s="4"/>
      <c r="B94" s="26">
        <f>SUM(B92:B93)</f>
        <v>227</v>
      </c>
      <c r="C94" s="21">
        <v>574.19999999999993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  <c r="ALU94" s="7"/>
      <c r="ALV94" s="7"/>
      <c r="ALW94" s="7"/>
      <c r="ALX94" s="7"/>
      <c r="ALY94" s="7"/>
      <c r="ALZ94" s="7"/>
      <c r="AMA94" s="7"/>
      <c r="AMB94" s="7"/>
      <c r="AMC94" s="7"/>
      <c r="AMD94" s="7"/>
      <c r="AME94" s="7"/>
      <c r="AMF94" s="7"/>
      <c r="AMG94" s="7"/>
      <c r="AMH94" s="7"/>
      <c r="AMI94" s="7"/>
      <c r="AMJ94" s="7"/>
      <c r="AMK94" s="7"/>
      <c r="AML94" s="7"/>
      <c r="AMM94" s="7"/>
      <c r="AMN94" s="7"/>
      <c r="AMO94" s="7"/>
      <c r="AMP94" s="7"/>
      <c r="AMQ94" s="7"/>
      <c r="AMR94" s="7"/>
      <c r="AMS94" s="7"/>
      <c r="AMT94" s="7"/>
      <c r="AMU94" s="7"/>
      <c r="AMV94" s="7"/>
      <c r="AMW94" s="7"/>
      <c r="AMX94" s="7"/>
      <c r="AMY94" s="7"/>
      <c r="AMZ94" s="7"/>
      <c r="ANA94" s="7"/>
      <c r="ANB94" s="7"/>
      <c r="ANC94" s="7"/>
      <c r="AND94" s="7"/>
      <c r="ANE94" s="7"/>
      <c r="ANF94" s="7"/>
      <c r="ANG94" s="7"/>
      <c r="ANH94" s="7"/>
      <c r="ANI94" s="7"/>
      <c r="ANJ94" s="7"/>
      <c r="ANK94" s="7"/>
      <c r="ANL94" s="7"/>
      <c r="ANM94" s="7"/>
      <c r="ANN94" s="7"/>
      <c r="ANO94" s="7"/>
      <c r="ANP94" s="7"/>
      <c r="ANQ94" s="7"/>
      <c r="ANR94" s="7"/>
      <c r="ANS94" s="7"/>
      <c r="ANT94" s="7"/>
      <c r="ANU94" s="7"/>
      <c r="ANV94" s="7"/>
      <c r="ANW94" s="7"/>
      <c r="ANX94" s="7"/>
      <c r="ANY94" s="7"/>
      <c r="ANZ94" s="7"/>
      <c r="AOA94" s="7"/>
      <c r="AOB94" s="7"/>
      <c r="AOC94" s="7"/>
      <c r="AOD94" s="7"/>
      <c r="AOE94" s="7"/>
      <c r="AOF94" s="7"/>
      <c r="AOG94" s="7"/>
      <c r="AOH94" s="7"/>
      <c r="AOI94" s="7"/>
      <c r="AOJ94" s="7"/>
      <c r="AOK94" s="7"/>
      <c r="AOL94" s="7"/>
      <c r="AOM94" s="7"/>
      <c r="AON94" s="7"/>
      <c r="AOO94" s="7"/>
      <c r="AOP94" s="7"/>
      <c r="AOQ94" s="7"/>
      <c r="AOR94" s="7"/>
      <c r="AOS94" s="7"/>
      <c r="AOT94" s="7"/>
      <c r="AOU94" s="7"/>
      <c r="AOV94" s="7"/>
      <c r="AOW94" s="7"/>
      <c r="AOX94" s="7"/>
      <c r="AOY94" s="7"/>
      <c r="AOZ94" s="7"/>
      <c r="APA94" s="7"/>
      <c r="APB94" s="7"/>
      <c r="APC94" s="7"/>
      <c r="APD94" s="7"/>
      <c r="APE94" s="7"/>
      <c r="APF94" s="7"/>
      <c r="APG94" s="7"/>
      <c r="APH94" s="7"/>
      <c r="API94" s="7"/>
      <c r="APJ94" s="7"/>
      <c r="APK94" s="7"/>
      <c r="APL94" s="7"/>
      <c r="APM94" s="7"/>
      <c r="APN94" s="7"/>
      <c r="APO94" s="7"/>
      <c r="APP94" s="7"/>
      <c r="APQ94" s="7"/>
      <c r="APR94" s="7"/>
      <c r="APS94" s="7"/>
      <c r="APT94" s="7"/>
      <c r="APU94" s="7"/>
      <c r="APV94" s="7"/>
      <c r="APW94" s="7"/>
      <c r="APX94" s="7"/>
      <c r="APY94" s="7"/>
      <c r="APZ94" s="7"/>
      <c r="AQA94" s="7"/>
      <c r="AQB94" s="7"/>
      <c r="AQC94" s="7"/>
      <c r="AQD94" s="7"/>
      <c r="AQE94" s="7"/>
      <c r="AQF94" s="7"/>
      <c r="AQG94" s="7"/>
      <c r="AQH94" s="7"/>
      <c r="AQI94" s="7"/>
      <c r="AQJ94" s="7"/>
      <c r="AQK94" s="7"/>
      <c r="AQL94" s="7"/>
      <c r="AQM94" s="7"/>
      <c r="AQN94" s="7"/>
      <c r="AQO94" s="7"/>
      <c r="AQP94" s="7"/>
      <c r="AQQ94" s="7"/>
      <c r="AQR94" s="7"/>
      <c r="AQS94" s="7"/>
      <c r="AQT94" s="7"/>
      <c r="AQU94" s="7"/>
      <c r="AQV94" s="7"/>
      <c r="AQW94" s="7"/>
      <c r="AQX94" s="7"/>
      <c r="AQY94" s="7"/>
      <c r="AQZ94" s="7"/>
      <c r="ARA94" s="7"/>
      <c r="ARB94" s="7"/>
      <c r="ARC94" s="7"/>
      <c r="ARD94" s="7"/>
      <c r="ARE94" s="7"/>
      <c r="ARF94" s="7"/>
      <c r="ARG94" s="7"/>
      <c r="ARH94" s="7"/>
      <c r="ARI94" s="7"/>
      <c r="ARJ94" s="7"/>
      <c r="ARK94" s="7"/>
      <c r="ARL94" s="7"/>
      <c r="ARM94" s="7"/>
      <c r="ARN94" s="7"/>
      <c r="ARO94" s="7"/>
      <c r="ARP94" s="7"/>
      <c r="ARQ94" s="7"/>
      <c r="ARR94" s="7"/>
      <c r="ARS94" s="7"/>
      <c r="ART94" s="7"/>
      <c r="ARU94" s="7"/>
      <c r="ARV94" s="7"/>
      <c r="ARW94" s="7"/>
      <c r="ARX94" s="7"/>
      <c r="ARY94" s="7"/>
      <c r="ARZ94" s="7"/>
      <c r="ASA94" s="7"/>
      <c r="ASB94" s="7"/>
      <c r="ASC94" s="7"/>
      <c r="ASD94" s="7"/>
      <c r="ASE94" s="7"/>
      <c r="ASF94" s="7"/>
      <c r="ASG94" s="7"/>
      <c r="ASH94" s="7"/>
      <c r="ASI94" s="7"/>
      <c r="ASJ94" s="7"/>
      <c r="ASK94" s="7"/>
      <c r="ASL94" s="7"/>
      <c r="ASM94" s="7"/>
      <c r="ASN94" s="7"/>
      <c r="ASO94" s="7"/>
      <c r="ASP94" s="7"/>
      <c r="ASQ94" s="7"/>
      <c r="ASR94" s="7"/>
      <c r="ASS94" s="7"/>
      <c r="AST94" s="7"/>
      <c r="ASU94" s="7"/>
      <c r="ASV94" s="7"/>
      <c r="ASW94" s="7"/>
      <c r="ASX94" s="7"/>
      <c r="ASY94" s="7"/>
      <c r="ASZ94" s="7"/>
      <c r="ATA94" s="7"/>
      <c r="ATB94" s="7"/>
      <c r="ATC94" s="7"/>
      <c r="ATD94" s="7"/>
      <c r="ATE94" s="7"/>
      <c r="ATF94" s="7"/>
      <c r="ATG94" s="7"/>
      <c r="ATH94" s="7"/>
      <c r="ATI94" s="7"/>
      <c r="ATJ94" s="7"/>
      <c r="ATK94" s="7"/>
      <c r="ATL94" s="7"/>
      <c r="ATM94" s="7"/>
      <c r="ATN94" s="7"/>
      <c r="ATO94" s="7"/>
      <c r="ATP94" s="7"/>
      <c r="ATQ94" s="7"/>
      <c r="ATR94" s="7"/>
      <c r="ATS94" s="7"/>
      <c r="ATT94" s="7"/>
      <c r="ATU94" s="7"/>
      <c r="ATV94" s="7"/>
      <c r="ATW94" s="7"/>
      <c r="ATX94" s="7"/>
      <c r="ATY94" s="7"/>
      <c r="ATZ94" s="7"/>
      <c r="AUA94" s="7"/>
      <c r="AUB94" s="7"/>
      <c r="AUC94" s="7"/>
      <c r="AUD94" s="7"/>
      <c r="AUE94" s="7"/>
      <c r="AUF94" s="7"/>
      <c r="AUG94" s="7"/>
      <c r="AUH94" s="7"/>
      <c r="AUI94" s="7"/>
      <c r="AUJ94" s="7"/>
      <c r="AUK94" s="7"/>
      <c r="AUL94" s="7"/>
      <c r="AUM94" s="7"/>
      <c r="AUN94" s="7"/>
      <c r="AUO94" s="7"/>
      <c r="AUP94" s="7"/>
      <c r="AUQ94" s="7"/>
      <c r="AUR94" s="7"/>
      <c r="AUS94" s="7"/>
      <c r="AUT94" s="7"/>
      <c r="AUU94" s="7"/>
      <c r="AUV94" s="7"/>
      <c r="AUW94" s="7"/>
      <c r="AUX94" s="7"/>
      <c r="AUY94" s="7"/>
      <c r="AUZ94" s="7"/>
      <c r="AVA94" s="7"/>
      <c r="AVB94" s="7"/>
      <c r="AVC94" s="7"/>
      <c r="AVD94" s="7"/>
      <c r="AVE94" s="7"/>
      <c r="AVF94" s="7"/>
      <c r="AVG94" s="7"/>
      <c r="AVH94" s="7"/>
      <c r="AVI94" s="7"/>
      <c r="AVJ94" s="7"/>
      <c r="AVK94" s="7"/>
      <c r="AVL94" s="7"/>
      <c r="AVM94" s="7"/>
      <c r="AVN94" s="7"/>
      <c r="AVO94" s="7"/>
      <c r="AVP94" s="7"/>
      <c r="AVQ94" s="7"/>
      <c r="AVR94" s="7"/>
      <c r="AVS94" s="7"/>
      <c r="AVT94" s="7"/>
      <c r="AVU94" s="7"/>
      <c r="AVV94" s="7"/>
      <c r="AVW94" s="7"/>
      <c r="AVX94" s="7"/>
      <c r="AVY94" s="7"/>
      <c r="AVZ94" s="7"/>
      <c r="AWA94" s="7"/>
      <c r="AWB94" s="7"/>
      <c r="AWC94" s="7"/>
      <c r="AWD94" s="7"/>
      <c r="AWE94" s="7"/>
      <c r="AWF94" s="7"/>
      <c r="AWG94" s="7"/>
      <c r="AWH94" s="7"/>
      <c r="AWI94" s="7"/>
      <c r="AWJ94" s="7"/>
      <c r="AWK94" s="7"/>
      <c r="AWL94" s="7"/>
      <c r="AWM94" s="7"/>
      <c r="AWN94" s="7"/>
      <c r="AWO94" s="7"/>
      <c r="AWP94" s="7"/>
      <c r="AWQ94" s="7"/>
      <c r="AWR94" s="7"/>
      <c r="AWS94" s="7"/>
      <c r="AWT94" s="7"/>
      <c r="AWU94" s="7"/>
      <c r="AWV94" s="7"/>
    </row>
    <row r="95" spans="1:1296" ht="18.75" x14ac:dyDescent="0.25">
      <c r="A95" s="1" t="s">
        <v>67</v>
      </c>
      <c r="B95" s="25">
        <v>51</v>
      </c>
      <c r="C95" s="20">
        <f>B95*C97/B97</f>
        <v>89.868510638297863</v>
      </c>
    </row>
    <row r="96" spans="1:1296" ht="18.75" x14ac:dyDescent="0.25">
      <c r="A96" s="1" t="s">
        <v>68</v>
      </c>
      <c r="B96" s="25">
        <v>43</v>
      </c>
      <c r="C96" s="20">
        <f>B96*C97/B97</f>
        <v>75.771489361702123</v>
      </c>
    </row>
    <row r="97" spans="1:1296" s="5" customFormat="1" ht="18.75" x14ac:dyDescent="0.25">
      <c r="A97" s="4"/>
      <c r="B97" s="26">
        <f>SUM(B95:B96)</f>
        <v>94</v>
      </c>
      <c r="C97" s="21">
        <v>165.64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7"/>
      <c r="JD97" s="7"/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/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/>
      <c r="KJ97" s="7"/>
      <c r="KK97" s="7"/>
      <c r="KL97" s="7"/>
      <c r="KM97" s="7"/>
      <c r="KN97" s="7"/>
      <c r="KO97" s="7"/>
      <c r="KP97" s="7"/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/>
      <c r="LF97" s="7"/>
      <c r="LG97" s="7"/>
      <c r="LH97" s="7"/>
      <c r="LI97" s="7"/>
      <c r="LJ97" s="7"/>
      <c r="LK97" s="7"/>
      <c r="LL97" s="7"/>
      <c r="LM97" s="7"/>
      <c r="LN97" s="7"/>
      <c r="LO97" s="7"/>
      <c r="LP97" s="7"/>
      <c r="LQ97" s="7"/>
      <c r="LR97" s="7"/>
      <c r="LS97" s="7"/>
      <c r="LT97" s="7"/>
      <c r="LU97" s="7"/>
      <c r="LV97" s="7"/>
      <c r="LW97" s="7"/>
      <c r="LX97" s="7"/>
      <c r="LY97" s="7"/>
      <c r="LZ97" s="7"/>
      <c r="MA97" s="7"/>
      <c r="MB97" s="7"/>
      <c r="MC97" s="7"/>
      <c r="MD97" s="7"/>
      <c r="ME97" s="7"/>
      <c r="MF97" s="7"/>
      <c r="MG97" s="7"/>
      <c r="MH97" s="7"/>
      <c r="MI97" s="7"/>
      <c r="MJ97" s="7"/>
      <c r="MK97" s="7"/>
      <c r="ML97" s="7"/>
      <c r="MM97" s="7"/>
      <c r="MN97" s="7"/>
      <c r="MO97" s="7"/>
      <c r="MP97" s="7"/>
      <c r="MQ97" s="7"/>
      <c r="MR97" s="7"/>
      <c r="MS97" s="7"/>
      <c r="MT97" s="7"/>
      <c r="MU97" s="7"/>
      <c r="MV97" s="7"/>
      <c r="MW97" s="7"/>
      <c r="MX97" s="7"/>
      <c r="MY97" s="7"/>
      <c r="MZ97" s="7"/>
      <c r="NA97" s="7"/>
      <c r="NB97" s="7"/>
      <c r="NC97" s="7"/>
      <c r="ND97" s="7"/>
      <c r="NE97" s="7"/>
      <c r="NF97" s="7"/>
      <c r="NG97" s="7"/>
      <c r="NH97" s="7"/>
      <c r="NI97" s="7"/>
      <c r="NJ97" s="7"/>
      <c r="NK97" s="7"/>
      <c r="NL97" s="7"/>
      <c r="NM97" s="7"/>
      <c r="NN97" s="7"/>
      <c r="NO97" s="7"/>
      <c r="NP97" s="7"/>
      <c r="NQ97" s="7"/>
      <c r="NR97" s="7"/>
      <c r="NS97" s="7"/>
      <c r="NT97" s="7"/>
      <c r="NU97" s="7"/>
      <c r="NV97" s="7"/>
      <c r="NW97" s="7"/>
      <c r="NX97" s="7"/>
      <c r="NY97" s="7"/>
      <c r="NZ97" s="7"/>
      <c r="OA97" s="7"/>
      <c r="OB97" s="7"/>
      <c r="OC97" s="7"/>
      <c r="OD97" s="7"/>
      <c r="OE97" s="7"/>
      <c r="OF97" s="7"/>
      <c r="OG97" s="7"/>
      <c r="OH97" s="7"/>
      <c r="OI97" s="7"/>
      <c r="OJ97" s="7"/>
      <c r="OK97" s="7"/>
      <c r="OL97" s="7"/>
      <c r="OM97" s="7"/>
      <c r="ON97" s="7"/>
      <c r="OO97" s="7"/>
      <c r="OP97" s="7"/>
      <c r="OQ97" s="7"/>
      <c r="OR97" s="7"/>
      <c r="OS97" s="7"/>
      <c r="OT97" s="7"/>
      <c r="OU97" s="7"/>
      <c r="OV97" s="7"/>
      <c r="OW97" s="7"/>
      <c r="OX97" s="7"/>
      <c r="OY97" s="7"/>
      <c r="OZ97" s="7"/>
      <c r="PA97" s="7"/>
      <c r="PB97" s="7"/>
      <c r="PC97" s="7"/>
      <c r="PD97" s="7"/>
      <c r="PE97" s="7"/>
      <c r="PF97" s="7"/>
      <c r="PG97" s="7"/>
      <c r="PH97" s="7"/>
      <c r="PI97" s="7"/>
      <c r="PJ97" s="7"/>
      <c r="PK97" s="7"/>
      <c r="PL97" s="7"/>
      <c r="PM97" s="7"/>
      <c r="PN97" s="7"/>
      <c r="PO97" s="7"/>
      <c r="PP97" s="7"/>
      <c r="PQ97" s="7"/>
      <c r="PR97" s="7"/>
      <c r="PS97" s="7"/>
      <c r="PT97" s="7"/>
      <c r="PU97" s="7"/>
      <c r="PV97" s="7"/>
      <c r="PW97" s="7"/>
      <c r="PX97" s="7"/>
      <c r="PY97" s="7"/>
      <c r="PZ97" s="7"/>
      <c r="QA97" s="7"/>
      <c r="QB97" s="7"/>
      <c r="QC97" s="7"/>
      <c r="QD97" s="7"/>
      <c r="QE97" s="7"/>
      <c r="QF97" s="7"/>
      <c r="QG97" s="7"/>
      <c r="QH97" s="7"/>
      <c r="QI97" s="7"/>
      <c r="QJ97" s="7"/>
      <c r="QK97" s="7"/>
      <c r="QL97" s="7"/>
      <c r="QM97" s="7"/>
      <c r="QN97" s="7"/>
      <c r="QO97" s="7"/>
      <c r="QP97" s="7"/>
      <c r="QQ97" s="7"/>
      <c r="QR97" s="7"/>
      <c r="QS97" s="7"/>
      <c r="QT97" s="7"/>
      <c r="QU97" s="7"/>
      <c r="QV97" s="7"/>
      <c r="QW97" s="7"/>
      <c r="QX97" s="7"/>
      <c r="QY97" s="7"/>
      <c r="QZ97" s="7"/>
      <c r="RA97" s="7"/>
      <c r="RB97" s="7"/>
      <c r="RC97" s="7"/>
      <c r="RD97" s="7"/>
      <c r="RE97" s="7"/>
      <c r="RF97" s="7"/>
      <c r="RG97" s="7"/>
      <c r="RH97" s="7"/>
      <c r="RI97" s="7"/>
      <c r="RJ97" s="7"/>
      <c r="RK97" s="7"/>
      <c r="RL97" s="7"/>
      <c r="RM97" s="7"/>
      <c r="RN97" s="7"/>
      <c r="RO97" s="7"/>
      <c r="RP97" s="7"/>
      <c r="RQ97" s="7"/>
      <c r="RR97" s="7"/>
      <c r="RS97" s="7"/>
      <c r="RT97" s="7"/>
      <c r="RU97" s="7"/>
      <c r="RV97" s="7"/>
      <c r="RW97" s="7"/>
      <c r="RX97" s="7"/>
      <c r="RY97" s="7"/>
      <c r="RZ97" s="7"/>
      <c r="SA97" s="7"/>
      <c r="SB97" s="7"/>
      <c r="SC97" s="7"/>
      <c r="SD97" s="7"/>
      <c r="SE97" s="7"/>
      <c r="SF97" s="7"/>
      <c r="SG97" s="7"/>
      <c r="SH97" s="7"/>
      <c r="SI97" s="7"/>
      <c r="SJ97" s="7"/>
      <c r="SK97" s="7"/>
      <c r="SL97" s="7"/>
      <c r="SM97" s="7"/>
      <c r="SN97" s="7"/>
      <c r="SO97" s="7"/>
      <c r="SP97" s="7"/>
      <c r="SQ97" s="7"/>
      <c r="SR97" s="7"/>
      <c r="SS97" s="7"/>
      <c r="ST97" s="7"/>
      <c r="SU97" s="7"/>
      <c r="SV97" s="7"/>
      <c r="SW97" s="7"/>
      <c r="SX97" s="7"/>
      <c r="SY97" s="7"/>
      <c r="SZ97" s="7"/>
      <c r="TA97" s="7"/>
      <c r="TB97" s="7"/>
      <c r="TC97" s="7"/>
      <c r="TD97" s="7"/>
      <c r="TE97" s="7"/>
      <c r="TF97" s="7"/>
      <c r="TG97" s="7"/>
      <c r="TH97" s="7"/>
      <c r="TI97" s="7"/>
      <c r="TJ97" s="7"/>
      <c r="TK97" s="7"/>
      <c r="TL97" s="7"/>
      <c r="TM97" s="7"/>
      <c r="TN97" s="7"/>
      <c r="TO97" s="7"/>
      <c r="TP97" s="7"/>
      <c r="TQ97" s="7"/>
      <c r="TR97" s="7"/>
      <c r="TS97" s="7"/>
      <c r="TT97" s="7"/>
      <c r="TU97" s="7"/>
      <c r="TV97" s="7"/>
      <c r="TW97" s="7"/>
      <c r="TX97" s="7"/>
      <c r="TY97" s="7"/>
      <c r="TZ97" s="7"/>
      <c r="UA97" s="7"/>
      <c r="UB97" s="7"/>
      <c r="UC97" s="7"/>
      <c r="UD97" s="7"/>
      <c r="UE97" s="7"/>
      <c r="UF97" s="7"/>
      <c r="UG97" s="7"/>
      <c r="UH97" s="7"/>
      <c r="UI97" s="7"/>
      <c r="UJ97" s="7"/>
      <c r="UK97" s="7"/>
      <c r="UL97" s="7"/>
      <c r="UM97" s="7"/>
      <c r="UN97" s="7"/>
      <c r="UO97" s="7"/>
      <c r="UP97" s="7"/>
      <c r="UQ97" s="7"/>
      <c r="UR97" s="7"/>
      <c r="US97" s="7"/>
      <c r="UT97" s="7"/>
      <c r="UU97" s="7"/>
      <c r="UV97" s="7"/>
      <c r="UW97" s="7"/>
      <c r="UX97" s="7"/>
      <c r="UY97" s="7"/>
      <c r="UZ97" s="7"/>
      <c r="VA97" s="7"/>
      <c r="VB97" s="7"/>
      <c r="VC97" s="7"/>
      <c r="VD97" s="7"/>
      <c r="VE97" s="7"/>
      <c r="VF97" s="7"/>
      <c r="VG97" s="7"/>
      <c r="VH97" s="7"/>
      <c r="VI97" s="7"/>
      <c r="VJ97" s="7"/>
      <c r="VK97" s="7"/>
      <c r="VL97" s="7"/>
      <c r="VM97" s="7"/>
      <c r="VN97" s="7"/>
      <c r="VO97" s="7"/>
      <c r="VP97" s="7"/>
      <c r="VQ97" s="7"/>
      <c r="VR97" s="7"/>
      <c r="VS97" s="7"/>
      <c r="VT97" s="7"/>
      <c r="VU97" s="7"/>
      <c r="VV97" s="7"/>
      <c r="VW97" s="7"/>
      <c r="VX97" s="7"/>
      <c r="VY97" s="7"/>
      <c r="VZ97" s="7"/>
      <c r="WA97" s="7"/>
      <c r="WB97" s="7"/>
      <c r="WC97" s="7"/>
      <c r="WD97" s="7"/>
      <c r="WE97" s="7"/>
      <c r="WF97" s="7"/>
      <c r="WG97" s="7"/>
      <c r="WH97" s="7"/>
      <c r="WI97" s="7"/>
      <c r="WJ97" s="7"/>
      <c r="WK97" s="7"/>
      <c r="WL97" s="7"/>
      <c r="WM97" s="7"/>
      <c r="WN97" s="7"/>
      <c r="WO97" s="7"/>
      <c r="WP97" s="7"/>
      <c r="WQ97" s="7"/>
      <c r="WR97" s="7"/>
      <c r="WS97" s="7"/>
      <c r="WT97" s="7"/>
      <c r="WU97" s="7"/>
      <c r="WV97" s="7"/>
      <c r="WW97" s="7"/>
      <c r="WX97" s="7"/>
      <c r="WY97" s="7"/>
      <c r="WZ97" s="7"/>
      <c r="XA97" s="7"/>
      <c r="XB97" s="7"/>
      <c r="XC97" s="7"/>
      <c r="XD97" s="7"/>
      <c r="XE97" s="7"/>
      <c r="XF97" s="7"/>
      <c r="XG97" s="7"/>
      <c r="XH97" s="7"/>
      <c r="XI97" s="7"/>
      <c r="XJ97" s="7"/>
      <c r="XK97" s="7"/>
      <c r="XL97" s="7"/>
      <c r="XM97" s="7"/>
      <c r="XN97" s="7"/>
      <c r="XO97" s="7"/>
      <c r="XP97" s="7"/>
      <c r="XQ97" s="7"/>
      <c r="XR97" s="7"/>
      <c r="XS97" s="7"/>
      <c r="XT97" s="7"/>
      <c r="XU97" s="7"/>
      <c r="XV97" s="7"/>
      <c r="XW97" s="7"/>
      <c r="XX97" s="7"/>
      <c r="XY97" s="7"/>
      <c r="XZ97" s="7"/>
      <c r="YA97" s="7"/>
      <c r="YB97" s="7"/>
      <c r="YC97" s="7"/>
      <c r="YD97" s="7"/>
      <c r="YE97" s="7"/>
      <c r="YF97" s="7"/>
      <c r="YG97" s="7"/>
      <c r="YH97" s="7"/>
      <c r="YI97" s="7"/>
      <c r="YJ97" s="7"/>
      <c r="YK97" s="7"/>
      <c r="YL97" s="7"/>
      <c r="YM97" s="7"/>
      <c r="YN97" s="7"/>
      <c r="YO97" s="7"/>
      <c r="YP97" s="7"/>
      <c r="YQ97" s="7"/>
      <c r="YR97" s="7"/>
      <c r="YS97" s="7"/>
      <c r="YT97" s="7"/>
      <c r="YU97" s="7"/>
      <c r="YV97" s="7"/>
      <c r="YW97" s="7"/>
      <c r="YX97" s="7"/>
      <c r="YY97" s="7"/>
      <c r="YZ97" s="7"/>
      <c r="ZA97" s="7"/>
      <c r="ZB97" s="7"/>
      <c r="ZC97" s="7"/>
      <c r="ZD97" s="7"/>
      <c r="ZE97" s="7"/>
      <c r="ZF97" s="7"/>
      <c r="ZG97" s="7"/>
      <c r="ZH97" s="7"/>
      <c r="ZI97" s="7"/>
      <c r="ZJ97" s="7"/>
      <c r="ZK97" s="7"/>
      <c r="ZL97" s="7"/>
      <c r="ZM97" s="7"/>
      <c r="ZN97" s="7"/>
      <c r="ZO97" s="7"/>
      <c r="ZP97" s="7"/>
      <c r="ZQ97" s="7"/>
      <c r="ZR97" s="7"/>
      <c r="ZS97" s="7"/>
      <c r="ZT97" s="7"/>
      <c r="ZU97" s="7"/>
      <c r="ZV97" s="7"/>
      <c r="ZW97" s="7"/>
      <c r="ZX97" s="7"/>
      <c r="ZY97" s="7"/>
      <c r="ZZ97" s="7"/>
      <c r="AAA97" s="7"/>
      <c r="AAB97" s="7"/>
      <c r="AAC97" s="7"/>
      <c r="AAD97" s="7"/>
      <c r="AAE97" s="7"/>
      <c r="AAF97" s="7"/>
      <c r="AAG97" s="7"/>
      <c r="AAH97" s="7"/>
      <c r="AAI97" s="7"/>
      <c r="AAJ97" s="7"/>
      <c r="AAK97" s="7"/>
      <c r="AAL97" s="7"/>
      <c r="AAM97" s="7"/>
      <c r="AAN97" s="7"/>
      <c r="AAO97" s="7"/>
      <c r="AAP97" s="7"/>
      <c r="AAQ97" s="7"/>
      <c r="AAR97" s="7"/>
      <c r="AAS97" s="7"/>
      <c r="AAT97" s="7"/>
      <c r="AAU97" s="7"/>
      <c r="AAV97" s="7"/>
      <c r="AAW97" s="7"/>
      <c r="AAX97" s="7"/>
      <c r="AAY97" s="7"/>
      <c r="AAZ97" s="7"/>
      <c r="ABA97" s="7"/>
      <c r="ABB97" s="7"/>
      <c r="ABC97" s="7"/>
      <c r="ABD97" s="7"/>
      <c r="ABE97" s="7"/>
      <c r="ABF97" s="7"/>
      <c r="ABG97" s="7"/>
      <c r="ABH97" s="7"/>
      <c r="ABI97" s="7"/>
      <c r="ABJ97" s="7"/>
      <c r="ABK97" s="7"/>
      <c r="ABL97" s="7"/>
      <c r="ABM97" s="7"/>
      <c r="ABN97" s="7"/>
      <c r="ABO97" s="7"/>
      <c r="ABP97" s="7"/>
      <c r="ABQ97" s="7"/>
      <c r="ABR97" s="7"/>
      <c r="ABS97" s="7"/>
      <c r="ABT97" s="7"/>
      <c r="ABU97" s="7"/>
      <c r="ABV97" s="7"/>
      <c r="ABW97" s="7"/>
      <c r="ABX97" s="7"/>
      <c r="ABY97" s="7"/>
      <c r="ABZ97" s="7"/>
      <c r="ACA97" s="7"/>
      <c r="ACB97" s="7"/>
      <c r="ACC97" s="7"/>
      <c r="ACD97" s="7"/>
      <c r="ACE97" s="7"/>
      <c r="ACF97" s="7"/>
      <c r="ACG97" s="7"/>
      <c r="ACH97" s="7"/>
      <c r="ACI97" s="7"/>
      <c r="ACJ97" s="7"/>
      <c r="ACK97" s="7"/>
      <c r="ACL97" s="7"/>
      <c r="ACM97" s="7"/>
      <c r="ACN97" s="7"/>
      <c r="ACO97" s="7"/>
      <c r="ACP97" s="7"/>
      <c r="ACQ97" s="7"/>
      <c r="ACR97" s="7"/>
      <c r="ACS97" s="7"/>
      <c r="ACT97" s="7"/>
      <c r="ACU97" s="7"/>
      <c r="ACV97" s="7"/>
      <c r="ACW97" s="7"/>
      <c r="ACX97" s="7"/>
      <c r="ACY97" s="7"/>
      <c r="ACZ97" s="7"/>
      <c r="ADA97" s="7"/>
      <c r="ADB97" s="7"/>
      <c r="ADC97" s="7"/>
      <c r="ADD97" s="7"/>
      <c r="ADE97" s="7"/>
      <c r="ADF97" s="7"/>
      <c r="ADG97" s="7"/>
      <c r="ADH97" s="7"/>
      <c r="ADI97" s="7"/>
      <c r="ADJ97" s="7"/>
      <c r="ADK97" s="7"/>
      <c r="ADL97" s="7"/>
      <c r="ADM97" s="7"/>
      <c r="ADN97" s="7"/>
      <c r="ADO97" s="7"/>
      <c r="ADP97" s="7"/>
      <c r="ADQ97" s="7"/>
      <c r="ADR97" s="7"/>
      <c r="ADS97" s="7"/>
      <c r="ADT97" s="7"/>
      <c r="ADU97" s="7"/>
      <c r="ADV97" s="7"/>
      <c r="ADW97" s="7"/>
      <c r="ADX97" s="7"/>
      <c r="ADY97" s="7"/>
      <c r="ADZ97" s="7"/>
      <c r="AEA97" s="7"/>
      <c r="AEB97" s="7"/>
      <c r="AEC97" s="7"/>
      <c r="AED97" s="7"/>
      <c r="AEE97" s="7"/>
      <c r="AEF97" s="7"/>
      <c r="AEG97" s="7"/>
      <c r="AEH97" s="7"/>
      <c r="AEI97" s="7"/>
      <c r="AEJ97" s="7"/>
      <c r="AEK97" s="7"/>
      <c r="AEL97" s="7"/>
      <c r="AEM97" s="7"/>
      <c r="AEN97" s="7"/>
      <c r="AEO97" s="7"/>
      <c r="AEP97" s="7"/>
      <c r="AEQ97" s="7"/>
      <c r="AER97" s="7"/>
      <c r="AES97" s="7"/>
      <c r="AET97" s="7"/>
      <c r="AEU97" s="7"/>
      <c r="AEV97" s="7"/>
      <c r="AEW97" s="7"/>
      <c r="AEX97" s="7"/>
      <c r="AEY97" s="7"/>
      <c r="AEZ97" s="7"/>
      <c r="AFA97" s="7"/>
      <c r="AFB97" s="7"/>
      <c r="AFC97" s="7"/>
      <c r="AFD97" s="7"/>
      <c r="AFE97" s="7"/>
      <c r="AFF97" s="7"/>
      <c r="AFG97" s="7"/>
      <c r="AFH97" s="7"/>
      <c r="AFI97" s="7"/>
      <c r="AFJ97" s="7"/>
      <c r="AFK97" s="7"/>
      <c r="AFL97" s="7"/>
      <c r="AFM97" s="7"/>
      <c r="AFN97" s="7"/>
      <c r="AFO97" s="7"/>
      <c r="AFP97" s="7"/>
      <c r="AFQ97" s="7"/>
      <c r="AFR97" s="7"/>
      <c r="AFS97" s="7"/>
      <c r="AFT97" s="7"/>
      <c r="AFU97" s="7"/>
      <c r="AFV97" s="7"/>
      <c r="AFW97" s="7"/>
      <c r="AFX97" s="7"/>
      <c r="AFY97" s="7"/>
      <c r="AFZ97" s="7"/>
      <c r="AGA97" s="7"/>
      <c r="AGB97" s="7"/>
      <c r="AGC97" s="7"/>
      <c r="AGD97" s="7"/>
      <c r="AGE97" s="7"/>
      <c r="AGF97" s="7"/>
      <c r="AGG97" s="7"/>
      <c r="AGH97" s="7"/>
      <c r="AGI97" s="7"/>
      <c r="AGJ97" s="7"/>
      <c r="AGK97" s="7"/>
      <c r="AGL97" s="7"/>
      <c r="AGM97" s="7"/>
      <c r="AGN97" s="7"/>
      <c r="AGO97" s="7"/>
      <c r="AGP97" s="7"/>
      <c r="AGQ97" s="7"/>
      <c r="AGR97" s="7"/>
      <c r="AGS97" s="7"/>
      <c r="AGT97" s="7"/>
      <c r="AGU97" s="7"/>
      <c r="AGV97" s="7"/>
      <c r="AGW97" s="7"/>
      <c r="AGX97" s="7"/>
      <c r="AGY97" s="7"/>
      <c r="AGZ97" s="7"/>
      <c r="AHA97" s="7"/>
      <c r="AHB97" s="7"/>
      <c r="AHC97" s="7"/>
      <c r="AHD97" s="7"/>
      <c r="AHE97" s="7"/>
      <c r="AHF97" s="7"/>
      <c r="AHG97" s="7"/>
      <c r="AHH97" s="7"/>
      <c r="AHI97" s="7"/>
      <c r="AHJ97" s="7"/>
      <c r="AHK97" s="7"/>
      <c r="AHL97" s="7"/>
      <c r="AHM97" s="7"/>
      <c r="AHN97" s="7"/>
      <c r="AHO97" s="7"/>
      <c r="AHP97" s="7"/>
      <c r="AHQ97" s="7"/>
      <c r="AHR97" s="7"/>
      <c r="AHS97" s="7"/>
      <c r="AHT97" s="7"/>
      <c r="AHU97" s="7"/>
      <c r="AHV97" s="7"/>
      <c r="AHW97" s="7"/>
      <c r="AHX97" s="7"/>
      <c r="AHY97" s="7"/>
      <c r="AHZ97" s="7"/>
      <c r="AIA97" s="7"/>
      <c r="AIB97" s="7"/>
      <c r="AIC97" s="7"/>
      <c r="AID97" s="7"/>
      <c r="AIE97" s="7"/>
      <c r="AIF97" s="7"/>
      <c r="AIG97" s="7"/>
      <c r="AIH97" s="7"/>
      <c r="AII97" s="7"/>
      <c r="AIJ97" s="7"/>
      <c r="AIK97" s="7"/>
      <c r="AIL97" s="7"/>
      <c r="AIM97" s="7"/>
      <c r="AIN97" s="7"/>
      <c r="AIO97" s="7"/>
      <c r="AIP97" s="7"/>
      <c r="AIQ97" s="7"/>
      <c r="AIR97" s="7"/>
      <c r="AIS97" s="7"/>
      <c r="AIT97" s="7"/>
      <c r="AIU97" s="7"/>
      <c r="AIV97" s="7"/>
      <c r="AIW97" s="7"/>
      <c r="AIX97" s="7"/>
      <c r="AIY97" s="7"/>
      <c r="AIZ97" s="7"/>
      <c r="AJA97" s="7"/>
      <c r="AJB97" s="7"/>
      <c r="AJC97" s="7"/>
      <c r="AJD97" s="7"/>
      <c r="AJE97" s="7"/>
      <c r="AJF97" s="7"/>
      <c r="AJG97" s="7"/>
      <c r="AJH97" s="7"/>
      <c r="AJI97" s="7"/>
      <c r="AJJ97" s="7"/>
      <c r="AJK97" s="7"/>
      <c r="AJL97" s="7"/>
      <c r="AJM97" s="7"/>
      <c r="AJN97" s="7"/>
      <c r="AJO97" s="7"/>
      <c r="AJP97" s="7"/>
      <c r="AJQ97" s="7"/>
      <c r="AJR97" s="7"/>
      <c r="AJS97" s="7"/>
      <c r="AJT97" s="7"/>
      <c r="AJU97" s="7"/>
      <c r="AJV97" s="7"/>
      <c r="AJW97" s="7"/>
      <c r="AJX97" s="7"/>
      <c r="AJY97" s="7"/>
      <c r="AJZ97" s="7"/>
      <c r="AKA97" s="7"/>
      <c r="AKB97" s="7"/>
      <c r="AKC97" s="7"/>
      <c r="AKD97" s="7"/>
      <c r="AKE97" s="7"/>
      <c r="AKF97" s="7"/>
      <c r="AKG97" s="7"/>
      <c r="AKH97" s="7"/>
      <c r="AKI97" s="7"/>
      <c r="AKJ97" s="7"/>
      <c r="AKK97" s="7"/>
      <c r="AKL97" s="7"/>
      <c r="AKM97" s="7"/>
      <c r="AKN97" s="7"/>
      <c r="AKO97" s="7"/>
      <c r="AKP97" s="7"/>
      <c r="AKQ97" s="7"/>
      <c r="AKR97" s="7"/>
      <c r="AKS97" s="7"/>
      <c r="AKT97" s="7"/>
      <c r="AKU97" s="7"/>
      <c r="AKV97" s="7"/>
      <c r="AKW97" s="7"/>
      <c r="AKX97" s="7"/>
      <c r="AKY97" s="7"/>
      <c r="AKZ97" s="7"/>
      <c r="ALA97" s="7"/>
      <c r="ALB97" s="7"/>
      <c r="ALC97" s="7"/>
      <c r="ALD97" s="7"/>
      <c r="ALE97" s="7"/>
      <c r="ALF97" s="7"/>
      <c r="ALG97" s="7"/>
      <c r="ALH97" s="7"/>
      <c r="ALI97" s="7"/>
      <c r="ALJ97" s="7"/>
      <c r="ALK97" s="7"/>
      <c r="ALL97" s="7"/>
      <c r="ALM97" s="7"/>
      <c r="ALN97" s="7"/>
      <c r="ALO97" s="7"/>
      <c r="ALP97" s="7"/>
      <c r="ALQ97" s="7"/>
      <c r="ALR97" s="7"/>
      <c r="ALS97" s="7"/>
      <c r="ALT97" s="7"/>
      <c r="ALU97" s="7"/>
      <c r="ALV97" s="7"/>
      <c r="ALW97" s="7"/>
      <c r="ALX97" s="7"/>
      <c r="ALY97" s="7"/>
      <c r="ALZ97" s="7"/>
      <c r="AMA97" s="7"/>
      <c r="AMB97" s="7"/>
      <c r="AMC97" s="7"/>
      <c r="AMD97" s="7"/>
      <c r="AME97" s="7"/>
      <c r="AMF97" s="7"/>
      <c r="AMG97" s="7"/>
      <c r="AMH97" s="7"/>
      <c r="AMI97" s="7"/>
      <c r="AMJ97" s="7"/>
      <c r="AMK97" s="7"/>
      <c r="AML97" s="7"/>
      <c r="AMM97" s="7"/>
      <c r="AMN97" s="7"/>
      <c r="AMO97" s="7"/>
      <c r="AMP97" s="7"/>
      <c r="AMQ97" s="7"/>
      <c r="AMR97" s="7"/>
      <c r="AMS97" s="7"/>
      <c r="AMT97" s="7"/>
      <c r="AMU97" s="7"/>
      <c r="AMV97" s="7"/>
      <c r="AMW97" s="7"/>
      <c r="AMX97" s="7"/>
      <c r="AMY97" s="7"/>
      <c r="AMZ97" s="7"/>
      <c r="ANA97" s="7"/>
      <c r="ANB97" s="7"/>
      <c r="ANC97" s="7"/>
      <c r="AND97" s="7"/>
      <c r="ANE97" s="7"/>
      <c r="ANF97" s="7"/>
      <c r="ANG97" s="7"/>
      <c r="ANH97" s="7"/>
      <c r="ANI97" s="7"/>
      <c r="ANJ97" s="7"/>
      <c r="ANK97" s="7"/>
      <c r="ANL97" s="7"/>
      <c r="ANM97" s="7"/>
      <c r="ANN97" s="7"/>
      <c r="ANO97" s="7"/>
      <c r="ANP97" s="7"/>
      <c r="ANQ97" s="7"/>
      <c r="ANR97" s="7"/>
      <c r="ANS97" s="7"/>
      <c r="ANT97" s="7"/>
      <c r="ANU97" s="7"/>
      <c r="ANV97" s="7"/>
      <c r="ANW97" s="7"/>
      <c r="ANX97" s="7"/>
      <c r="ANY97" s="7"/>
      <c r="ANZ97" s="7"/>
      <c r="AOA97" s="7"/>
      <c r="AOB97" s="7"/>
      <c r="AOC97" s="7"/>
      <c r="AOD97" s="7"/>
      <c r="AOE97" s="7"/>
      <c r="AOF97" s="7"/>
      <c r="AOG97" s="7"/>
      <c r="AOH97" s="7"/>
      <c r="AOI97" s="7"/>
      <c r="AOJ97" s="7"/>
      <c r="AOK97" s="7"/>
      <c r="AOL97" s="7"/>
      <c r="AOM97" s="7"/>
      <c r="AON97" s="7"/>
      <c r="AOO97" s="7"/>
      <c r="AOP97" s="7"/>
      <c r="AOQ97" s="7"/>
      <c r="AOR97" s="7"/>
      <c r="AOS97" s="7"/>
      <c r="AOT97" s="7"/>
      <c r="AOU97" s="7"/>
      <c r="AOV97" s="7"/>
      <c r="AOW97" s="7"/>
      <c r="AOX97" s="7"/>
      <c r="AOY97" s="7"/>
      <c r="AOZ97" s="7"/>
      <c r="APA97" s="7"/>
      <c r="APB97" s="7"/>
      <c r="APC97" s="7"/>
      <c r="APD97" s="7"/>
      <c r="APE97" s="7"/>
      <c r="APF97" s="7"/>
      <c r="APG97" s="7"/>
      <c r="APH97" s="7"/>
      <c r="API97" s="7"/>
      <c r="APJ97" s="7"/>
      <c r="APK97" s="7"/>
      <c r="APL97" s="7"/>
      <c r="APM97" s="7"/>
      <c r="APN97" s="7"/>
      <c r="APO97" s="7"/>
      <c r="APP97" s="7"/>
      <c r="APQ97" s="7"/>
      <c r="APR97" s="7"/>
      <c r="APS97" s="7"/>
      <c r="APT97" s="7"/>
      <c r="APU97" s="7"/>
      <c r="APV97" s="7"/>
      <c r="APW97" s="7"/>
      <c r="APX97" s="7"/>
      <c r="APY97" s="7"/>
      <c r="APZ97" s="7"/>
      <c r="AQA97" s="7"/>
      <c r="AQB97" s="7"/>
      <c r="AQC97" s="7"/>
      <c r="AQD97" s="7"/>
      <c r="AQE97" s="7"/>
      <c r="AQF97" s="7"/>
      <c r="AQG97" s="7"/>
      <c r="AQH97" s="7"/>
      <c r="AQI97" s="7"/>
      <c r="AQJ97" s="7"/>
      <c r="AQK97" s="7"/>
      <c r="AQL97" s="7"/>
      <c r="AQM97" s="7"/>
      <c r="AQN97" s="7"/>
      <c r="AQO97" s="7"/>
      <c r="AQP97" s="7"/>
      <c r="AQQ97" s="7"/>
      <c r="AQR97" s="7"/>
      <c r="AQS97" s="7"/>
      <c r="AQT97" s="7"/>
      <c r="AQU97" s="7"/>
      <c r="AQV97" s="7"/>
      <c r="AQW97" s="7"/>
      <c r="AQX97" s="7"/>
      <c r="AQY97" s="7"/>
      <c r="AQZ97" s="7"/>
      <c r="ARA97" s="7"/>
      <c r="ARB97" s="7"/>
      <c r="ARC97" s="7"/>
      <c r="ARD97" s="7"/>
      <c r="ARE97" s="7"/>
      <c r="ARF97" s="7"/>
      <c r="ARG97" s="7"/>
      <c r="ARH97" s="7"/>
      <c r="ARI97" s="7"/>
      <c r="ARJ97" s="7"/>
      <c r="ARK97" s="7"/>
      <c r="ARL97" s="7"/>
      <c r="ARM97" s="7"/>
      <c r="ARN97" s="7"/>
      <c r="ARO97" s="7"/>
      <c r="ARP97" s="7"/>
      <c r="ARQ97" s="7"/>
      <c r="ARR97" s="7"/>
      <c r="ARS97" s="7"/>
      <c r="ART97" s="7"/>
      <c r="ARU97" s="7"/>
      <c r="ARV97" s="7"/>
      <c r="ARW97" s="7"/>
      <c r="ARX97" s="7"/>
      <c r="ARY97" s="7"/>
      <c r="ARZ97" s="7"/>
      <c r="ASA97" s="7"/>
      <c r="ASB97" s="7"/>
      <c r="ASC97" s="7"/>
      <c r="ASD97" s="7"/>
      <c r="ASE97" s="7"/>
      <c r="ASF97" s="7"/>
      <c r="ASG97" s="7"/>
      <c r="ASH97" s="7"/>
      <c r="ASI97" s="7"/>
      <c r="ASJ97" s="7"/>
      <c r="ASK97" s="7"/>
      <c r="ASL97" s="7"/>
      <c r="ASM97" s="7"/>
      <c r="ASN97" s="7"/>
      <c r="ASO97" s="7"/>
      <c r="ASP97" s="7"/>
      <c r="ASQ97" s="7"/>
      <c r="ASR97" s="7"/>
      <c r="ASS97" s="7"/>
      <c r="AST97" s="7"/>
      <c r="ASU97" s="7"/>
      <c r="ASV97" s="7"/>
      <c r="ASW97" s="7"/>
      <c r="ASX97" s="7"/>
      <c r="ASY97" s="7"/>
      <c r="ASZ97" s="7"/>
      <c r="ATA97" s="7"/>
      <c r="ATB97" s="7"/>
      <c r="ATC97" s="7"/>
      <c r="ATD97" s="7"/>
      <c r="ATE97" s="7"/>
      <c r="ATF97" s="7"/>
      <c r="ATG97" s="7"/>
      <c r="ATH97" s="7"/>
      <c r="ATI97" s="7"/>
      <c r="ATJ97" s="7"/>
      <c r="ATK97" s="7"/>
      <c r="ATL97" s="7"/>
      <c r="ATM97" s="7"/>
      <c r="ATN97" s="7"/>
      <c r="ATO97" s="7"/>
      <c r="ATP97" s="7"/>
      <c r="ATQ97" s="7"/>
      <c r="ATR97" s="7"/>
      <c r="ATS97" s="7"/>
      <c r="ATT97" s="7"/>
      <c r="ATU97" s="7"/>
      <c r="ATV97" s="7"/>
      <c r="ATW97" s="7"/>
      <c r="ATX97" s="7"/>
      <c r="ATY97" s="7"/>
      <c r="ATZ97" s="7"/>
      <c r="AUA97" s="7"/>
      <c r="AUB97" s="7"/>
      <c r="AUC97" s="7"/>
      <c r="AUD97" s="7"/>
      <c r="AUE97" s="7"/>
      <c r="AUF97" s="7"/>
      <c r="AUG97" s="7"/>
      <c r="AUH97" s="7"/>
      <c r="AUI97" s="7"/>
      <c r="AUJ97" s="7"/>
      <c r="AUK97" s="7"/>
      <c r="AUL97" s="7"/>
      <c r="AUM97" s="7"/>
      <c r="AUN97" s="7"/>
      <c r="AUO97" s="7"/>
      <c r="AUP97" s="7"/>
      <c r="AUQ97" s="7"/>
      <c r="AUR97" s="7"/>
      <c r="AUS97" s="7"/>
      <c r="AUT97" s="7"/>
      <c r="AUU97" s="7"/>
      <c r="AUV97" s="7"/>
      <c r="AUW97" s="7"/>
      <c r="AUX97" s="7"/>
      <c r="AUY97" s="7"/>
      <c r="AUZ97" s="7"/>
      <c r="AVA97" s="7"/>
      <c r="AVB97" s="7"/>
      <c r="AVC97" s="7"/>
      <c r="AVD97" s="7"/>
      <c r="AVE97" s="7"/>
      <c r="AVF97" s="7"/>
      <c r="AVG97" s="7"/>
      <c r="AVH97" s="7"/>
      <c r="AVI97" s="7"/>
      <c r="AVJ97" s="7"/>
      <c r="AVK97" s="7"/>
      <c r="AVL97" s="7"/>
      <c r="AVM97" s="7"/>
      <c r="AVN97" s="7"/>
      <c r="AVO97" s="7"/>
      <c r="AVP97" s="7"/>
      <c r="AVQ97" s="7"/>
      <c r="AVR97" s="7"/>
      <c r="AVS97" s="7"/>
      <c r="AVT97" s="7"/>
      <c r="AVU97" s="7"/>
      <c r="AVV97" s="7"/>
      <c r="AVW97" s="7"/>
      <c r="AVX97" s="7"/>
      <c r="AVY97" s="7"/>
      <c r="AVZ97" s="7"/>
      <c r="AWA97" s="7"/>
      <c r="AWB97" s="7"/>
      <c r="AWC97" s="7"/>
      <c r="AWD97" s="7"/>
      <c r="AWE97" s="7"/>
      <c r="AWF97" s="7"/>
      <c r="AWG97" s="7"/>
      <c r="AWH97" s="7"/>
      <c r="AWI97" s="7"/>
      <c r="AWJ97" s="7"/>
      <c r="AWK97" s="7"/>
      <c r="AWL97" s="7"/>
      <c r="AWM97" s="7"/>
      <c r="AWN97" s="7"/>
      <c r="AWO97" s="7"/>
      <c r="AWP97" s="7"/>
      <c r="AWQ97" s="7"/>
      <c r="AWR97" s="7"/>
      <c r="AWS97" s="7"/>
      <c r="AWT97" s="7"/>
      <c r="AWU97" s="7"/>
      <c r="AWV97" s="7"/>
    </row>
    <row r="98" spans="1:1296" ht="18.75" x14ac:dyDescent="0.25">
      <c r="A98" s="65" t="s">
        <v>260</v>
      </c>
      <c r="B98" s="25">
        <v>189</v>
      </c>
      <c r="C98" s="20">
        <f>B98*C100/B100</f>
        <v>387.60304496657693</v>
      </c>
    </row>
    <row r="99" spans="1:1296" ht="18.75" x14ac:dyDescent="0.25">
      <c r="A99" s="65" t="s">
        <v>261</v>
      </c>
      <c r="B99" s="25">
        <v>24</v>
      </c>
      <c r="C99" s="20">
        <f>B99*C100/B100</f>
        <v>49.219434281470086</v>
      </c>
    </row>
    <row r="100" spans="1:1296" x14ac:dyDescent="0.25">
      <c r="A100" s="66"/>
      <c r="B100" s="26">
        <f>SUM(B98:B99)</f>
        <v>213</v>
      </c>
      <c r="C100" s="21">
        <v>436.82247924804705</v>
      </c>
    </row>
    <row r="101" spans="1:1296" x14ac:dyDescent="0.25">
      <c r="A101" s="2"/>
    </row>
    <row r="102" spans="1:1296" x14ac:dyDescent="0.25">
      <c r="A102" s="2"/>
    </row>
    <row r="103" spans="1:1296" x14ac:dyDescent="0.25">
      <c r="A103" s="2"/>
    </row>
    <row r="104" spans="1:1296" x14ac:dyDescent="0.25">
      <c r="A104" s="2"/>
    </row>
    <row r="105" spans="1:1296" x14ac:dyDescent="0.25">
      <c r="A105" s="2"/>
    </row>
    <row r="106" spans="1:1296" x14ac:dyDescent="0.25">
      <c r="A106" s="2"/>
    </row>
    <row r="107" spans="1:1296" x14ac:dyDescent="0.25">
      <c r="A107" s="2"/>
    </row>
    <row r="108" spans="1:1296" x14ac:dyDescent="0.25">
      <c r="A108" s="2"/>
    </row>
    <row r="109" spans="1:1296" x14ac:dyDescent="0.25">
      <c r="A109" s="2"/>
    </row>
    <row r="110" spans="1:1296" x14ac:dyDescent="0.25">
      <c r="A110" s="2"/>
    </row>
    <row r="111" spans="1:1296" x14ac:dyDescent="0.25">
      <c r="A111" s="2"/>
    </row>
    <row r="112" spans="1:1296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</sheetData>
  <mergeCells count="4">
    <mergeCell ref="A2:A4"/>
    <mergeCell ref="B2:B4"/>
    <mergeCell ref="B1:C1"/>
    <mergeCell ref="C2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НАЧИСЛЕНИЯ</vt:lpstr>
      <vt:lpstr>Распределение отопления</vt:lpstr>
      <vt:lpstr>Распределение ГВС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2020-01-24T08:50:12Z</cp:lastPrinted>
  <dcterms:created xsi:type="dcterms:W3CDTF">2015-12-11T08:13:35Z</dcterms:created>
  <dcterms:modified xsi:type="dcterms:W3CDTF">2020-12-29T07:19:02Z</dcterms:modified>
</cp:coreProperties>
</file>