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X:\Переход на прямые договора ТГК-1\ПЕРЕХОД С 01.10.2021г без собраний\"/>
    </mc:Choice>
  </mc:AlternateContent>
  <xr:revisionPtr revIDLastSave="0" documentId="13_ncr:1_{09BF408D-ADA6-4C67-84EF-60DD2D0744E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остались в ЖКС" sheetId="3" r:id="rId1"/>
    <sheet name="ЖКС №1 ВО района" sheetId="2" r:id="rId2"/>
  </sheets>
  <definedNames>
    <definedName name="_xlnm._FilterDatabase" localSheetId="1" hidden="1">'ЖКС №1 ВО района'!$A$3:$AH$249</definedName>
    <definedName name="_xlnm._FilterDatabase" localSheetId="0" hidden="1">'остались в ЖКС'!$A$3:$AH$249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9" i="3" l="1"/>
  <c r="O259" i="3" s="1"/>
  <c r="L259" i="3"/>
  <c r="J259" i="3"/>
  <c r="S259" i="3" s="1"/>
  <c r="O258" i="3"/>
  <c r="H258" i="3" s="1"/>
  <c r="N258" i="3"/>
  <c r="J258" i="3"/>
  <c r="S258" i="3" s="1"/>
  <c r="S256" i="3"/>
  <c r="O256" i="3"/>
  <c r="L256" i="3"/>
  <c r="J256" i="3"/>
  <c r="H256" i="3"/>
  <c r="O255" i="3"/>
  <c r="L255" i="3"/>
  <c r="J255" i="3"/>
  <c r="S255" i="3" s="1"/>
  <c r="H255" i="3" s="1"/>
  <c r="S249" i="3"/>
  <c r="O249" i="3"/>
  <c r="H249" i="3" s="1"/>
  <c r="K249" i="3"/>
  <c r="S248" i="3"/>
  <c r="O248" i="3"/>
  <c r="H248" i="3" s="1"/>
  <c r="K248" i="3"/>
  <c r="S247" i="3"/>
  <c r="O247" i="3"/>
  <c r="H247" i="3" s="1"/>
  <c r="K247" i="3"/>
  <c r="S246" i="3"/>
  <c r="O246" i="3"/>
  <c r="H246" i="3" s="1"/>
  <c r="K246" i="3"/>
  <c r="AB245" i="3"/>
  <c r="Z245" i="3"/>
  <c r="S245" i="3"/>
  <c r="O245" i="3"/>
  <c r="M245" i="3"/>
  <c r="L245" i="3"/>
  <c r="AA245" i="3" s="1"/>
  <c r="K245" i="3"/>
  <c r="AB244" i="3"/>
  <c r="AA244" i="3"/>
  <c r="Z244" i="3"/>
  <c r="S244" i="3"/>
  <c r="AC244" i="3" s="1"/>
  <c r="AD244" i="3" s="1"/>
  <c r="O244" i="3"/>
  <c r="H244" i="3" s="1"/>
  <c r="Y244" i="3" s="1"/>
  <c r="K244" i="3"/>
  <c r="AB243" i="3"/>
  <c r="AA243" i="3"/>
  <c r="Z243" i="3"/>
  <c r="S243" i="3"/>
  <c r="AC243" i="3" s="1"/>
  <c r="AD243" i="3" s="1"/>
  <c r="O243" i="3"/>
  <c r="K243" i="3"/>
  <c r="J243" i="3"/>
  <c r="H243" i="3"/>
  <c r="Y243" i="3" s="1"/>
  <c r="AC242" i="3"/>
  <c r="AD242" i="3" s="1"/>
  <c r="AB242" i="3"/>
  <c r="AA242" i="3"/>
  <c r="Z242" i="3"/>
  <c r="S242" i="3"/>
  <c r="O242" i="3"/>
  <c r="K242" i="3"/>
  <c r="H242" i="3"/>
  <c r="Y242" i="3" s="1"/>
  <c r="AE241" i="3"/>
  <c r="AB241" i="3"/>
  <c r="AA241" i="3"/>
  <c r="Z241" i="3"/>
  <c r="S241" i="3"/>
  <c r="AC241" i="3" s="1"/>
  <c r="AD241" i="3" s="1"/>
  <c r="P241" i="3"/>
  <c r="O241" i="3"/>
  <c r="K241" i="3"/>
  <c r="H241" i="3"/>
  <c r="Y241" i="3" s="1"/>
  <c r="AE240" i="3"/>
  <c r="AB240" i="3"/>
  <c r="AA240" i="3"/>
  <c r="S240" i="3"/>
  <c r="AC240" i="3" s="1"/>
  <c r="AD240" i="3" s="1"/>
  <c r="P240" i="3"/>
  <c r="O240" i="3"/>
  <c r="J240" i="3"/>
  <c r="AB239" i="3"/>
  <c r="Z239" i="3"/>
  <c r="S239" i="3"/>
  <c r="AC239" i="3" s="1"/>
  <c r="AD239" i="3" s="1"/>
  <c r="O239" i="3"/>
  <c r="L239" i="3"/>
  <c r="AA239" i="3" s="1"/>
  <c r="K239" i="3"/>
  <c r="H239" i="3"/>
  <c r="Y239" i="3" s="1"/>
  <c r="AB238" i="3"/>
  <c r="AA238" i="3"/>
  <c r="O238" i="3"/>
  <c r="J238" i="3"/>
  <c r="Z238" i="3" s="1"/>
  <c r="AB237" i="3"/>
  <c r="AA237" i="3"/>
  <c r="Z237" i="3"/>
  <c r="S237" i="3"/>
  <c r="AC237" i="3" s="1"/>
  <c r="AD237" i="3" s="1"/>
  <c r="O237" i="3"/>
  <c r="K237" i="3"/>
  <c r="AB236" i="3"/>
  <c r="AA236" i="3"/>
  <c r="Z236" i="3"/>
  <c r="S236" i="3"/>
  <c r="AC236" i="3" s="1"/>
  <c r="AD236" i="3" s="1"/>
  <c r="O236" i="3"/>
  <c r="K236" i="3"/>
  <c r="AB235" i="3"/>
  <c r="AA235" i="3"/>
  <c r="Z235" i="3"/>
  <c r="S235" i="3"/>
  <c r="AC235" i="3" s="1"/>
  <c r="AD235" i="3" s="1"/>
  <c r="O235" i="3"/>
  <c r="K235" i="3"/>
  <c r="AB234" i="3"/>
  <c r="AA234" i="3"/>
  <c r="Z234" i="3"/>
  <c r="S234" i="3"/>
  <c r="AC234" i="3" s="1"/>
  <c r="AD234" i="3" s="1"/>
  <c r="O234" i="3"/>
  <c r="H234" i="3" s="1"/>
  <c r="Y234" i="3" s="1"/>
  <c r="K234" i="3"/>
  <c r="AB233" i="3"/>
  <c r="AA233" i="3"/>
  <c r="Z233" i="3"/>
  <c r="S233" i="3"/>
  <c r="AC233" i="3" s="1"/>
  <c r="AD233" i="3" s="1"/>
  <c r="O233" i="3"/>
  <c r="K233" i="3"/>
  <c r="J233" i="3"/>
  <c r="H233" i="3"/>
  <c r="Y233" i="3" s="1"/>
  <c r="AC232" i="3"/>
  <c r="AD232" i="3" s="1"/>
  <c r="AB232" i="3"/>
  <c r="AA232" i="3"/>
  <c r="Z232" i="3"/>
  <c r="S232" i="3"/>
  <c r="O232" i="3"/>
  <c r="K232" i="3"/>
  <c r="H232" i="3"/>
  <c r="Y232" i="3" s="1"/>
  <c r="AB231" i="3"/>
  <c r="AA231" i="3"/>
  <c r="O231" i="3"/>
  <c r="J231" i="3"/>
  <c r="Z231" i="3" s="1"/>
  <c r="AB230" i="3"/>
  <c r="AA230" i="3"/>
  <c r="Z230" i="3"/>
  <c r="S230" i="3"/>
  <c r="AC230" i="3" s="1"/>
  <c r="AD230" i="3" s="1"/>
  <c r="O230" i="3"/>
  <c r="H230" i="3" s="1"/>
  <c r="Y230" i="3" s="1"/>
  <c r="K230" i="3"/>
  <c r="AB229" i="3"/>
  <c r="AA229" i="3"/>
  <c r="Z229" i="3"/>
  <c r="S229" i="3"/>
  <c r="AC229" i="3" s="1"/>
  <c r="AD229" i="3" s="1"/>
  <c r="O229" i="3"/>
  <c r="K229" i="3"/>
  <c r="AB228" i="3"/>
  <c r="AA228" i="3"/>
  <c r="Z228" i="3"/>
  <c r="S228" i="3"/>
  <c r="AC228" i="3" s="1"/>
  <c r="AD228" i="3" s="1"/>
  <c r="O228" i="3"/>
  <c r="H228" i="3" s="1"/>
  <c r="Y228" i="3" s="1"/>
  <c r="K228" i="3"/>
  <c r="AB227" i="3"/>
  <c r="Z227" i="3"/>
  <c r="S227" i="3"/>
  <c r="AC227" i="3" s="1"/>
  <c r="AD227" i="3" s="1"/>
  <c r="O227" i="3"/>
  <c r="L227" i="3"/>
  <c r="AA227" i="3" s="1"/>
  <c r="K227" i="3"/>
  <c r="H227" i="3"/>
  <c r="Y227" i="3" s="1"/>
  <c r="AC226" i="3"/>
  <c r="AD226" i="3" s="1"/>
  <c r="AB226" i="3"/>
  <c r="AA226" i="3"/>
  <c r="Z226" i="3"/>
  <c r="S226" i="3"/>
  <c r="O226" i="3"/>
  <c r="H226" i="3" s="1"/>
  <c r="Y226" i="3" s="1"/>
  <c r="K226" i="3"/>
  <c r="AC225" i="3"/>
  <c r="AD225" i="3" s="1"/>
  <c r="AB225" i="3"/>
  <c r="AA225" i="3"/>
  <c r="Z225" i="3"/>
  <c r="S225" i="3"/>
  <c r="O225" i="3"/>
  <c r="K225" i="3"/>
  <c r="H225" i="3"/>
  <c r="Y225" i="3" s="1"/>
  <c r="AC224" i="3"/>
  <c r="AD224" i="3" s="1"/>
  <c r="AB224" i="3"/>
  <c r="AA224" i="3"/>
  <c r="Z224" i="3"/>
  <c r="S224" i="3"/>
  <c r="O224" i="3"/>
  <c r="H224" i="3" s="1"/>
  <c r="Y224" i="3" s="1"/>
  <c r="K224" i="3"/>
  <c r="AC223" i="3"/>
  <c r="AD223" i="3" s="1"/>
  <c r="AB223" i="3"/>
  <c r="AA223" i="3"/>
  <c r="Z223" i="3"/>
  <c r="S223" i="3"/>
  <c r="O223" i="3"/>
  <c r="K223" i="3"/>
  <c r="H223" i="3"/>
  <c r="Y223" i="3" s="1"/>
  <c r="AC222" i="3"/>
  <c r="AD222" i="3" s="1"/>
  <c r="AB222" i="3"/>
  <c r="AA222" i="3"/>
  <c r="Z222" i="3"/>
  <c r="S222" i="3"/>
  <c r="O222" i="3"/>
  <c r="H222" i="3" s="1"/>
  <c r="Y222" i="3" s="1"/>
  <c r="K222" i="3"/>
  <c r="AC221" i="3"/>
  <c r="AD221" i="3" s="1"/>
  <c r="AB221" i="3"/>
  <c r="AA221" i="3"/>
  <c r="Z221" i="3"/>
  <c r="O221" i="3"/>
  <c r="L221" i="3"/>
  <c r="S221" i="3" s="1"/>
  <c r="K221" i="3"/>
  <c r="AB220" i="3"/>
  <c r="AA220" i="3"/>
  <c r="Z220" i="3"/>
  <c r="S220" i="3"/>
  <c r="AC220" i="3" s="1"/>
  <c r="AD220" i="3" s="1"/>
  <c r="O220" i="3"/>
  <c r="K220" i="3"/>
  <c r="J220" i="3"/>
  <c r="H220" i="3"/>
  <c r="Y220" i="3" s="1"/>
  <c r="AC219" i="3"/>
  <c r="AD219" i="3" s="1"/>
  <c r="AB219" i="3"/>
  <c r="AA219" i="3"/>
  <c r="Z219" i="3"/>
  <c r="S219" i="3"/>
  <c r="O219" i="3"/>
  <c r="H219" i="3" s="1"/>
  <c r="Y219" i="3" s="1"/>
  <c r="K219" i="3"/>
  <c r="AE218" i="3"/>
  <c r="AB218" i="3"/>
  <c r="Q218" i="3"/>
  <c r="P218" i="3"/>
  <c r="O218" i="3" s="1"/>
  <c r="L218" i="3"/>
  <c r="AA218" i="3" s="1"/>
  <c r="J218" i="3"/>
  <c r="AE217" i="3"/>
  <c r="P217" i="3" s="1"/>
  <c r="AC217" i="3"/>
  <c r="AD217" i="3" s="1"/>
  <c r="AB217" i="3"/>
  <c r="AA217" i="3"/>
  <c r="Z217" i="3"/>
  <c r="Y217" i="3"/>
  <c r="S217" i="3"/>
  <c r="Q217" i="3"/>
  <c r="O217" i="3"/>
  <c r="H217" i="3" s="1"/>
  <c r="K217" i="3"/>
  <c r="AB216" i="3"/>
  <c r="Z216" i="3"/>
  <c r="O216" i="3"/>
  <c r="M216" i="3"/>
  <c r="L216" i="3"/>
  <c r="K216" i="3"/>
  <c r="AC215" i="3"/>
  <c r="AD215" i="3" s="1"/>
  <c r="AB215" i="3"/>
  <c r="AA215" i="3"/>
  <c r="Z215" i="3"/>
  <c r="S215" i="3"/>
  <c r="O215" i="3"/>
  <c r="K215" i="3"/>
  <c r="H215" i="3"/>
  <c r="Y215" i="3" s="1"/>
  <c r="AC214" i="3"/>
  <c r="AD214" i="3" s="1"/>
  <c r="AB214" i="3"/>
  <c r="AA214" i="3"/>
  <c r="Z214" i="3"/>
  <c r="S214" i="3"/>
  <c r="O214" i="3"/>
  <c r="H214" i="3" s="1"/>
  <c r="Y214" i="3" s="1"/>
  <c r="K214" i="3"/>
  <c r="AB213" i="3"/>
  <c r="AA213" i="3"/>
  <c r="O213" i="3"/>
  <c r="L213" i="3"/>
  <c r="K213" i="3"/>
  <c r="J213" i="3"/>
  <c r="S213" i="3" s="1"/>
  <c r="AE212" i="3"/>
  <c r="AB212" i="3"/>
  <c r="AA212" i="3"/>
  <c r="Z212" i="3"/>
  <c r="S212" i="3"/>
  <c r="AC212" i="3" s="1"/>
  <c r="AD212" i="3" s="1"/>
  <c r="Q212" i="3"/>
  <c r="P212" i="3"/>
  <c r="O212" i="3" s="1"/>
  <c r="H212" i="3" s="1"/>
  <c r="Y212" i="3" s="1"/>
  <c r="K212" i="3"/>
  <c r="J212" i="3"/>
  <c r="AC211" i="3"/>
  <c r="AD211" i="3" s="1"/>
  <c r="AB211" i="3"/>
  <c r="AA211" i="3"/>
  <c r="Z211" i="3"/>
  <c r="S211" i="3"/>
  <c r="O211" i="3"/>
  <c r="H211" i="3" s="1"/>
  <c r="Y211" i="3" s="1"/>
  <c r="K211" i="3"/>
  <c r="AC210" i="3"/>
  <c r="AD210" i="3" s="1"/>
  <c r="AB210" i="3"/>
  <c r="AA210" i="3"/>
  <c r="Z210" i="3"/>
  <c r="S210" i="3"/>
  <c r="O210" i="3"/>
  <c r="K210" i="3"/>
  <c r="H210" i="3"/>
  <c r="Y210" i="3" s="1"/>
  <c r="AB209" i="3"/>
  <c r="AA209" i="3"/>
  <c r="O209" i="3"/>
  <c r="J209" i="3"/>
  <c r="Z209" i="3" s="1"/>
  <c r="AB208" i="3"/>
  <c r="AA208" i="3"/>
  <c r="Z208" i="3"/>
  <c r="S208" i="3"/>
  <c r="AC208" i="3" s="1"/>
  <c r="AD208" i="3" s="1"/>
  <c r="O208" i="3"/>
  <c r="H208" i="3" s="1"/>
  <c r="Y208" i="3" s="1"/>
  <c r="K208" i="3"/>
  <c r="AB207" i="3"/>
  <c r="AA207" i="3"/>
  <c r="Z207" i="3"/>
  <c r="S207" i="3"/>
  <c r="O207" i="3"/>
  <c r="K207" i="3"/>
  <c r="AB206" i="3"/>
  <c r="AA206" i="3"/>
  <c r="Z206" i="3"/>
  <c r="S206" i="3"/>
  <c r="AC206" i="3" s="1"/>
  <c r="AD206" i="3" s="1"/>
  <c r="O206" i="3"/>
  <c r="H206" i="3" s="1"/>
  <c r="Y206" i="3" s="1"/>
  <c r="K206" i="3"/>
  <c r="AB205" i="3"/>
  <c r="AA205" i="3"/>
  <c r="Z205" i="3"/>
  <c r="S205" i="3"/>
  <c r="O205" i="3"/>
  <c r="K205" i="3"/>
  <c r="Z204" i="3"/>
  <c r="S204" i="3"/>
  <c r="AC204" i="3" s="1"/>
  <c r="AD204" i="3" s="1"/>
  <c r="O204" i="3"/>
  <c r="N204" i="3"/>
  <c r="AB204" i="3" s="1"/>
  <c r="L204" i="3"/>
  <c r="AA204" i="3" s="1"/>
  <c r="K204" i="3"/>
  <c r="J204" i="3"/>
  <c r="H204" i="3"/>
  <c r="Y204" i="3" s="1"/>
  <c r="AC203" i="3"/>
  <c r="AD203" i="3" s="1"/>
  <c r="AB203" i="3"/>
  <c r="AA203" i="3"/>
  <c r="Z203" i="3"/>
  <c r="S203" i="3"/>
  <c r="O203" i="3"/>
  <c r="H203" i="3" s="1"/>
  <c r="Y203" i="3" s="1"/>
  <c r="K203" i="3"/>
  <c r="AB202" i="3"/>
  <c r="Z202" i="3"/>
  <c r="O202" i="3"/>
  <c r="M202" i="3"/>
  <c r="L202" i="3"/>
  <c r="K202" i="3"/>
  <c r="AC201" i="3"/>
  <c r="AD201" i="3" s="1"/>
  <c r="AB201" i="3"/>
  <c r="AA201" i="3"/>
  <c r="Z201" i="3"/>
  <c r="S201" i="3"/>
  <c r="O201" i="3"/>
  <c r="K201" i="3"/>
  <c r="H201" i="3"/>
  <c r="Y201" i="3" s="1"/>
  <c r="AB200" i="3"/>
  <c r="AA200" i="3"/>
  <c r="O200" i="3"/>
  <c r="J200" i="3"/>
  <c r="Z200" i="3" s="1"/>
  <c r="AB199" i="3"/>
  <c r="AA199" i="3"/>
  <c r="Z199" i="3"/>
  <c r="S199" i="3"/>
  <c r="AC199" i="3" s="1"/>
  <c r="AD199" i="3" s="1"/>
  <c r="O199" i="3"/>
  <c r="H199" i="3" s="1"/>
  <c r="Y199" i="3" s="1"/>
  <c r="K199" i="3"/>
  <c r="AB198" i="3"/>
  <c r="AA198" i="3"/>
  <c r="Z198" i="3"/>
  <c r="S198" i="3"/>
  <c r="O198" i="3"/>
  <c r="K198" i="3"/>
  <c r="AB197" i="3"/>
  <c r="AA197" i="3"/>
  <c r="Z197" i="3"/>
  <c r="S197" i="3"/>
  <c r="AC197" i="3" s="1"/>
  <c r="AD197" i="3" s="1"/>
  <c r="O197" i="3"/>
  <c r="H197" i="3" s="1"/>
  <c r="Y197" i="3" s="1"/>
  <c r="K197" i="3"/>
  <c r="AB196" i="3"/>
  <c r="AA196" i="3"/>
  <c r="Z196" i="3"/>
  <c r="S196" i="3"/>
  <c r="O196" i="3"/>
  <c r="K196" i="3"/>
  <c r="O195" i="3"/>
  <c r="M195" i="3"/>
  <c r="J195" i="3"/>
  <c r="AB194" i="3"/>
  <c r="AA194" i="3"/>
  <c r="Z194" i="3"/>
  <c r="S194" i="3"/>
  <c r="O194" i="3"/>
  <c r="K194" i="3"/>
  <c r="AB193" i="3"/>
  <c r="AA193" i="3"/>
  <c r="Z193" i="3"/>
  <c r="S193" i="3"/>
  <c r="O193" i="3"/>
  <c r="K193" i="3"/>
  <c r="AB192" i="3"/>
  <c r="AA192" i="3"/>
  <c r="Z192" i="3"/>
  <c r="S192" i="3"/>
  <c r="AC192" i="3" s="1"/>
  <c r="AD192" i="3" s="1"/>
  <c r="O192" i="3"/>
  <c r="H192" i="3" s="1"/>
  <c r="Y192" i="3" s="1"/>
  <c r="K192" i="3"/>
  <c r="AB191" i="3"/>
  <c r="Z191" i="3"/>
  <c r="S191" i="3"/>
  <c r="AC191" i="3" s="1"/>
  <c r="AD191" i="3" s="1"/>
  <c r="O191" i="3"/>
  <c r="K191" i="3"/>
  <c r="H191" i="3"/>
  <c r="Y191" i="3" s="1"/>
  <c r="AC190" i="3"/>
  <c r="AD190" i="3" s="1"/>
  <c r="AB190" i="3"/>
  <c r="AA190" i="3"/>
  <c r="Z190" i="3"/>
  <c r="S190" i="3"/>
  <c r="O190" i="3"/>
  <c r="H190" i="3" s="1"/>
  <c r="Y190" i="3" s="1"/>
  <c r="K190" i="3"/>
  <c r="AC189" i="3"/>
  <c r="AD189" i="3" s="1"/>
  <c r="AB189" i="3"/>
  <c r="AA189" i="3"/>
  <c r="Z189" i="3"/>
  <c r="S189" i="3"/>
  <c r="O189" i="3"/>
  <c r="H189" i="3" s="1"/>
  <c r="Y189" i="3" s="1"/>
  <c r="K189" i="3"/>
  <c r="AC188" i="3"/>
  <c r="AD188" i="3" s="1"/>
  <c r="AB188" i="3"/>
  <c r="AA188" i="3"/>
  <c r="Z188" i="3"/>
  <c r="S188" i="3"/>
  <c r="O188" i="3"/>
  <c r="K188" i="3"/>
  <c r="H188" i="3"/>
  <c r="Y188" i="3" s="1"/>
  <c r="AB187" i="3"/>
  <c r="AA187" i="3"/>
  <c r="Z187" i="3"/>
  <c r="S187" i="3"/>
  <c r="AC187" i="3" s="1"/>
  <c r="AD187" i="3" s="1"/>
  <c r="O187" i="3"/>
  <c r="H187" i="3" s="1"/>
  <c r="Y187" i="3" s="1"/>
  <c r="K187" i="3"/>
  <c r="AB186" i="3"/>
  <c r="AA186" i="3"/>
  <c r="Z186" i="3"/>
  <c r="S186" i="3"/>
  <c r="O186" i="3"/>
  <c r="K186" i="3"/>
  <c r="AB185" i="3"/>
  <c r="AA185" i="3"/>
  <c r="Z185" i="3"/>
  <c r="S185" i="3"/>
  <c r="AC185" i="3" s="1"/>
  <c r="AD185" i="3" s="1"/>
  <c r="Q185" i="3"/>
  <c r="O185" i="3" s="1"/>
  <c r="H185" i="3" s="1"/>
  <c r="Y185" i="3" s="1"/>
  <c r="L185" i="3"/>
  <c r="K185" i="3"/>
  <c r="AB184" i="3"/>
  <c r="AA184" i="3"/>
  <c r="Z184" i="3"/>
  <c r="S184" i="3"/>
  <c r="AC184" i="3" s="1"/>
  <c r="AD184" i="3" s="1"/>
  <c r="O184" i="3"/>
  <c r="H184" i="3" s="1"/>
  <c r="Y184" i="3" s="1"/>
  <c r="K184" i="3"/>
  <c r="AC183" i="3"/>
  <c r="AD183" i="3" s="1"/>
  <c r="AB183" i="3"/>
  <c r="AA183" i="3"/>
  <c r="Z183" i="3"/>
  <c r="S183" i="3"/>
  <c r="O183" i="3"/>
  <c r="K183" i="3"/>
  <c r="H183" i="3"/>
  <c r="Y183" i="3" s="1"/>
  <c r="AB182" i="3"/>
  <c r="AA182" i="3"/>
  <c r="Z182" i="3"/>
  <c r="S182" i="3"/>
  <c r="AC182" i="3" s="1"/>
  <c r="AD182" i="3" s="1"/>
  <c r="O182" i="3"/>
  <c r="H182" i="3" s="1"/>
  <c r="Y182" i="3" s="1"/>
  <c r="K182" i="3"/>
  <c r="AB181" i="3"/>
  <c r="AA181" i="3"/>
  <c r="S181" i="3"/>
  <c r="AC181" i="3" s="1"/>
  <c r="AD181" i="3" s="1"/>
  <c r="O181" i="3"/>
  <c r="J181" i="3"/>
  <c r="H181" i="3"/>
  <c r="Y181" i="3" s="1"/>
  <c r="AB180" i="3"/>
  <c r="AA180" i="3"/>
  <c r="Z180" i="3"/>
  <c r="S180" i="3"/>
  <c r="AC180" i="3" s="1"/>
  <c r="AD180" i="3" s="1"/>
  <c r="O180" i="3"/>
  <c r="K180" i="3"/>
  <c r="AC179" i="3"/>
  <c r="AD179" i="3" s="1"/>
  <c r="AB179" i="3"/>
  <c r="AA179" i="3"/>
  <c r="Z179" i="3"/>
  <c r="S179" i="3"/>
  <c r="O179" i="3"/>
  <c r="K179" i="3"/>
  <c r="H179" i="3"/>
  <c r="Y179" i="3" s="1"/>
  <c r="AB178" i="3"/>
  <c r="AA178" i="3"/>
  <c r="R178" i="3"/>
  <c r="O178" i="3" s="1"/>
  <c r="L178" i="3"/>
  <c r="K178" i="3"/>
  <c r="J178" i="3"/>
  <c r="Z178" i="3" s="1"/>
  <c r="AC177" i="3"/>
  <c r="AD177" i="3" s="1"/>
  <c r="AB177" i="3"/>
  <c r="AA177" i="3"/>
  <c r="Z177" i="3"/>
  <c r="S177" i="3"/>
  <c r="O177" i="3"/>
  <c r="K177" i="3"/>
  <c r="H177" i="3"/>
  <c r="Y177" i="3" s="1"/>
  <c r="AD176" i="3"/>
  <c r="AB176" i="3"/>
  <c r="AA176" i="3"/>
  <c r="Z176" i="3"/>
  <c r="O176" i="3"/>
  <c r="H176" i="3" s="1"/>
  <c r="Y176" i="3" s="1"/>
  <c r="K176" i="3"/>
  <c r="J176" i="3"/>
  <c r="S176" i="3" s="1"/>
  <c r="AC176" i="3" s="1"/>
  <c r="AD175" i="3"/>
  <c r="AC175" i="3"/>
  <c r="AB175" i="3"/>
  <c r="AA175" i="3"/>
  <c r="Z175" i="3"/>
  <c r="S175" i="3"/>
  <c r="O175" i="3"/>
  <c r="K175" i="3"/>
  <c r="H175" i="3"/>
  <c r="Y175" i="3" s="1"/>
  <c r="AB174" i="3"/>
  <c r="AA174" i="3"/>
  <c r="Z174" i="3"/>
  <c r="S174" i="3"/>
  <c r="AC174" i="3" s="1"/>
  <c r="AD174" i="3" s="1"/>
  <c r="O174" i="3"/>
  <c r="L174" i="3"/>
  <c r="K174" i="3"/>
  <c r="H174" i="3"/>
  <c r="Y174" i="3" s="1"/>
  <c r="AD173" i="3"/>
  <c r="AC173" i="3"/>
  <c r="AB173" i="3"/>
  <c r="AA173" i="3"/>
  <c r="Z173" i="3"/>
  <c r="S173" i="3"/>
  <c r="O173" i="3"/>
  <c r="H173" i="3" s="1"/>
  <c r="Y173" i="3" s="1"/>
  <c r="K173" i="3"/>
  <c r="AC172" i="3"/>
  <c r="AD172" i="3" s="1"/>
  <c r="AB172" i="3"/>
  <c r="AA172" i="3"/>
  <c r="Z172" i="3"/>
  <c r="S172" i="3"/>
  <c r="O172" i="3"/>
  <c r="K172" i="3"/>
  <c r="H172" i="3"/>
  <c r="Y172" i="3" s="1"/>
  <c r="AD171" i="3"/>
  <c r="AC171" i="3"/>
  <c r="AB171" i="3"/>
  <c r="AA171" i="3"/>
  <c r="Z171" i="3"/>
  <c r="S171" i="3"/>
  <c r="O171" i="3"/>
  <c r="H171" i="3" s="1"/>
  <c r="Y171" i="3" s="1"/>
  <c r="K171" i="3"/>
  <c r="AB170" i="3"/>
  <c r="AA170" i="3"/>
  <c r="Z170" i="3"/>
  <c r="S170" i="3"/>
  <c r="O170" i="3"/>
  <c r="K170" i="3"/>
  <c r="AD169" i="3"/>
  <c r="AC169" i="3"/>
  <c r="AB169" i="3"/>
  <c r="AA169" i="3"/>
  <c r="Z169" i="3"/>
  <c r="S169" i="3"/>
  <c r="O169" i="3"/>
  <c r="H169" i="3" s="1"/>
  <c r="Y169" i="3" s="1"/>
  <c r="K169" i="3"/>
  <c r="AC168" i="3"/>
  <c r="AD168" i="3" s="1"/>
  <c r="AB168" i="3"/>
  <c r="AA168" i="3"/>
  <c r="S168" i="3"/>
  <c r="H168" i="3" s="1"/>
  <c r="Y168" i="3" s="1"/>
  <c r="O168" i="3"/>
  <c r="J168" i="3"/>
  <c r="AB167" i="3"/>
  <c r="AA167" i="3"/>
  <c r="Z167" i="3"/>
  <c r="S167" i="3"/>
  <c r="AC167" i="3" s="1"/>
  <c r="AD167" i="3" s="1"/>
  <c r="O167" i="3"/>
  <c r="M167" i="3"/>
  <c r="L167" i="3"/>
  <c r="K167" i="3"/>
  <c r="H167" i="3"/>
  <c r="Y167" i="3" s="1"/>
  <c r="AB166" i="3"/>
  <c r="AA166" i="3"/>
  <c r="Z166" i="3"/>
  <c r="S166" i="3"/>
  <c r="AC166" i="3" s="1"/>
  <c r="AD166" i="3" s="1"/>
  <c r="O166" i="3"/>
  <c r="K166" i="3"/>
  <c r="AC165" i="3"/>
  <c r="AD165" i="3" s="1"/>
  <c r="AB165" i="3"/>
  <c r="AA165" i="3"/>
  <c r="Z165" i="3"/>
  <c r="S165" i="3"/>
  <c r="O165" i="3"/>
  <c r="K165" i="3"/>
  <c r="H165" i="3"/>
  <c r="Y165" i="3" s="1"/>
  <c r="AB164" i="3"/>
  <c r="AA164" i="3"/>
  <c r="Z164" i="3"/>
  <c r="S164" i="3"/>
  <c r="O164" i="3"/>
  <c r="M164" i="3"/>
  <c r="L164" i="3"/>
  <c r="K164" i="3"/>
  <c r="AB163" i="3"/>
  <c r="AA163" i="3"/>
  <c r="Z163" i="3"/>
  <c r="S163" i="3"/>
  <c r="AC163" i="3" s="1"/>
  <c r="AD163" i="3" s="1"/>
  <c r="O163" i="3"/>
  <c r="K163" i="3"/>
  <c r="AB162" i="3"/>
  <c r="Z162" i="3"/>
  <c r="O162" i="3"/>
  <c r="L162" i="3"/>
  <c r="AA162" i="3" s="1"/>
  <c r="K162" i="3"/>
  <c r="J162" i="3"/>
  <c r="S162" i="3" s="1"/>
  <c r="AD161" i="3"/>
  <c r="AC161" i="3"/>
  <c r="AB161" i="3"/>
  <c r="AA161" i="3"/>
  <c r="Z161" i="3"/>
  <c r="S161" i="3"/>
  <c r="O161" i="3"/>
  <c r="K161" i="3"/>
  <c r="H161" i="3"/>
  <c r="Y161" i="3" s="1"/>
  <c r="AB160" i="3"/>
  <c r="AA160" i="3"/>
  <c r="Z160" i="3"/>
  <c r="S160" i="3"/>
  <c r="AC160" i="3" s="1"/>
  <c r="AD160" i="3" s="1"/>
  <c r="O160" i="3"/>
  <c r="K160" i="3"/>
  <c r="AD159" i="3"/>
  <c r="AC159" i="3"/>
  <c r="AB159" i="3"/>
  <c r="AA159" i="3"/>
  <c r="Z159" i="3"/>
  <c r="S159" i="3"/>
  <c r="O159" i="3"/>
  <c r="K159" i="3"/>
  <c r="H159" i="3"/>
  <c r="Y159" i="3" s="1"/>
  <c r="AB158" i="3"/>
  <c r="AA158" i="3"/>
  <c r="Z158" i="3"/>
  <c r="S158" i="3"/>
  <c r="AC158" i="3" s="1"/>
  <c r="AD158" i="3" s="1"/>
  <c r="O158" i="3"/>
  <c r="K158" i="3"/>
  <c r="AD157" i="3"/>
  <c r="AC157" i="3"/>
  <c r="AB157" i="3"/>
  <c r="AA157" i="3"/>
  <c r="Z157" i="3"/>
  <c r="S157" i="3"/>
  <c r="O157" i="3"/>
  <c r="K157" i="3"/>
  <c r="H157" i="3"/>
  <c r="Y157" i="3" s="1"/>
  <c r="AB156" i="3"/>
  <c r="AA156" i="3"/>
  <c r="Z156" i="3"/>
  <c r="S156" i="3"/>
  <c r="AC156" i="3" s="1"/>
  <c r="AD156" i="3" s="1"/>
  <c r="Q156" i="3"/>
  <c r="O156" i="3" s="1"/>
  <c r="K156" i="3"/>
  <c r="H156" i="3"/>
  <c r="Y156" i="3" s="1"/>
  <c r="AD155" i="3"/>
  <c r="AC155" i="3"/>
  <c r="AB155" i="3"/>
  <c r="AA155" i="3"/>
  <c r="Z155" i="3"/>
  <c r="S155" i="3"/>
  <c r="Q155" i="3"/>
  <c r="O155" i="3" s="1"/>
  <c r="H155" i="3" s="1"/>
  <c r="Y155" i="3" s="1"/>
  <c r="K155" i="3"/>
  <c r="AC154" i="3"/>
  <c r="AD154" i="3" s="1"/>
  <c r="AB154" i="3"/>
  <c r="AA154" i="3"/>
  <c r="Z154" i="3"/>
  <c r="S154" i="3"/>
  <c r="O154" i="3"/>
  <c r="K154" i="3"/>
  <c r="H154" i="3"/>
  <c r="Y154" i="3" s="1"/>
  <c r="AB153" i="3"/>
  <c r="AA153" i="3"/>
  <c r="Z153" i="3"/>
  <c r="S153" i="3"/>
  <c r="AC153" i="3" s="1"/>
  <c r="AD153" i="3" s="1"/>
  <c r="O153" i="3"/>
  <c r="K153" i="3"/>
  <c r="AC152" i="3"/>
  <c r="AD152" i="3" s="1"/>
  <c r="AB152" i="3"/>
  <c r="AA152" i="3"/>
  <c r="Z152" i="3"/>
  <c r="S152" i="3"/>
  <c r="O152" i="3"/>
  <c r="K152" i="3"/>
  <c r="H152" i="3"/>
  <c r="Y152" i="3" s="1"/>
  <c r="AB151" i="3"/>
  <c r="AA151" i="3"/>
  <c r="Z151" i="3"/>
  <c r="S151" i="3"/>
  <c r="AC151" i="3" s="1"/>
  <c r="AD151" i="3" s="1"/>
  <c r="O151" i="3"/>
  <c r="K151" i="3"/>
  <c r="AC150" i="3"/>
  <c r="AD150" i="3" s="1"/>
  <c r="AB150" i="3"/>
  <c r="AA150" i="3"/>
  <c r="Z150" i="3"/>
  <c r="S150" i="3"/>
  <c r="O150" i="3"/>
  <c r="K150" i="3"/>
  <c r="H150" i="3"/>
  <c r="Y150" i="3" s="1"/>
  <c r="AB149" i="3"/>
  <c r="AA149" i="3"/>
  <c r="Z149" i="3"/>
  <c r="S149" i="3"/>
  <c r="AC149" i="3" s="1"/>
  <c r="AD149" i="3" s="1"/>
  <c r="O149" i="3"/>
  <c r="K149" i="3"/>
  <c r="AC148" i="3"/>
  <c r="AD148" i="3" s="1"/>
  <c r="AB148" i="3"/>
  <c r="AA148" i="3"/>
  <c r="Z148" i="3"/>
  <c r="S148" i="3"/>
  <c r="O148" i="3"/>
  <c r="K148" i="3"/>
  <c r="H148" i="3"/>
  <c r="Y148" i="3" s="1"/>
  <c r="AB147" i="3"/>
  <c r="AA147" i="3"/>
  <c r="Z147" i="3"/>
  <c r="S147" i="3"/>
  <c r="AC147" i="3" s="1"/>
  <c r="AD147" i="3" s="1"/>
  <c r="O147" i="3"/>
  <c r="K147" i="3"/>
  <c r="J147" i="3"/>
  <c r="H147" i="3"/>
  <c r="Y147" i="3" s="1"/>
  <c r="AD146" i="3"/>
  <c r="AC146" i="3"/>
  <c r="AB146" i="3"/>
  <c r="AA146" i="3"/>
  <c r="Z146" i="3"/>
  <c r="S146" i="3"/>
  <c r="O146" i="3"/>
  <c r="H146" i="3" s="1"/>
  <c r="Y146" i="3" s="1"/>
  <c r="K146" i="3"/>
  <c r="AC145" i="3"/>
  <c r="AD145" i="3" s="1"/>
  <c r="AB145" i="3"/>
  <c r="AA145" i="3"/>
  <c r="Z145" i="3"/>
  <c r="S145" i="3"/>
  <c r="O145" i="3"/>
  <c r="K145" i="3"/>
  <c r="H145" i="3"/>
  <c r="Y145" i="3" s="1"/>
  <c r="AE144" i="3"/>
  <c r="AB144" i="3"/>
  <c r="AA144" i="3"/>
  <c r="Z144" i="3"/>
  <c r="S144" i="3"/>
  <c r="AC144" i="3" s="1"/>
  <c r="AD144" i="3" s="1"/>
  <c r="O144" i="3"/>
  <c r="K144" i="3"/>
  <c r="AD143" i="3"/>
  <c r="AC143" i="3"/>
  <c r="AB143" i="3"/>
  <c r="AA143" i="3"/>
  <c r="Z143" i="3"/>
  <c r="S143" i="3"/>
  <c r="Q143" i="3"/>
  <c r="O143" i="3"/>
  <c r="H143" i="3" s="1"/>
  <c r="Y143" i="3" s="1"/>
  <c r="K143" i="3"/>
  <c r="AB142" i="3"/>
  <c r="AA142" i="3"/>
  <c r="Z142" i="3"/>
  <c r="S142" i="3"/>
  <c r="O142" i="3"/>
  <c r="K142" i="3"/>
  <c r="AD141" i="3"/>
  <c r="AC141" i="3"/>
  <c r="AB141" i="3"/>
  <c r="AA141" i="3"/>
  <c r="Z141" i="3"/>
  <c r="S141" i="3"/>
  <c r="O141" i="3"/>
  <c r="H141" i="3" s="1"/>
  <c r="Y141" i="3" s="1"/>
  <c r="K141" i="3"/>
  <c r="AC140" i="3"/>
  <c r="AD140" i="3" s="1"/>
  <c r="AB140" i="3"/>
  <c r="AA140" i="3"/>
  <c r="Z140" i="3"/>
  <c r="S140" i="3"/>
  <c r="O140" i="3"/>
  <c r="K140" i="3"/>
  <c r="H140" i="3"/>
  <c r="Y140" i="3" s="1"/>
  <c r="AD139" i="3"/>
  <c r="AB139" i="3"/>
  <c r="Z139" i="3"/>
  <c r="O139" i="3"/>
  <c r="H139" i="3" s="1"/>
  <c r="Y139" i="3" s="1"/>
  <c r="L139" i="3"/>
  <c r="S139" i="3" s="1"/>
  <c r="AC139" i="3" s="1"/>
  <c r="K139" i="3"/>
  <c r="AD138" i="3"/>
  <c r="AC138" i="3"/>
  <c r="AB138" i="3"/>
  <c r="AA138" i="3"/>
  <c r="Z138" i="3"/>
  <c r="S138" i="3"/>
  <c r="O138" i="3"/>
  <c r="K138" i="3"/>
  <c r="H138" i="3"/>
  <c r="Y138" i="3" s="1"/>
  <c r="AB137" i="3"/>
  <c r="AA137" i="3"/>
  <c r="Z137" i="3"/>
  <c r="S137" i="3"/>
  <c r="AC137" i="3" s="1"/>
  <c r="AD137" i="3" s="1"/>
  <c r="O137" i="3"/>
  <c r="K137" i="3"/>
  <c r="AB136" i="3"/>
  <c r="Z136" i="3"/>
  <c r="O136" i="3"/>
  <c r="L136" i="3"/>
  <c r="K136" i="3"/>
  <c r="AC135" i="3"/>
  <c r="AD135" i="3" s="1"/>
  <c r="AB135" i="3"/>
  <c r="AA135" i="3"/>
  <c r="Z135" i="3"/>
  <c r="S135" i="3"/>
  <c r="O135" i="3"/>
  <c r="K135" i="3"/>
  <c r="H135" i="3"/>
  <c r="Y135" i="3" s="1"/>
  <c r="AD134" i="3"/>
  <c r="AB134" i="3"/>
  <c r="Z134" i="3"/>
  <c r="O134" i="3"/>
  <c r="H134" i="3" s="1"/>
  <c r="Y134" i="3" s="1"/>
  <c r="L134" i="3"/>
  <c r="S134" i="3" s="1"/>
  <c r="AC134" i="3" s="1"/>
  <c r="K134" i="3"/>
  <c r="AD133" i="3"/>
  <c r="AC133" i="3"/>
  <c r="AB133" i="3"/>
  <c r="AA133" i="3"/>
  <c r="Z133" i="3"/>
  <c r="S133" i="3"/>
  <c r="O133" i="3"/>
  <c r="K133" i="3"/>
  <c r="H133" i="3"/>
  <c r="Y133" i="3" s="1"/>
  <c r="AB132" i="3"/>
  <c r="AA132" i="3"/>
  <c r="Z132" i="3"/>
  <c r="S132" i="3"/>
  <c r="AC132" i="3" s="1"/>
  <c r="AD132" i="3" s="1"/>
  <c r="O132" i="3"/>
  <c r="K132" i="3"/>
  <c r="J132" i="3"/>
  <c r="H132" i="3"/>
  <c r="Y132" i="3" s="1"/>
  <c r="AB131" i="3"/>
  <c r="AA131" i="3"/>
  <c r="Z131" i="3"/>
  <c r="O131" i="3"/>
  <c r="M131" i="3"/>
  <c r="L131" i="3"/>
  <c r="S131" i="3" s="1"/>
  <c r="K131" i="3"/>
  <c r="AB130" i="3"/>
  <c r="Z130" i="3"/>
  <c r="O130" i="3"/>
  <c r="L130" i="3"/>
  <c r="K130" i="3"/>
  <c r="AB129" i="3"/>
  <c r="Z129" i="3"/>
  <c r="Q129" i="3"/>
  <c r="O129" i="3"/>
  <c r="L129" i="3"/>
  <c r="K129" i="3"/>
  <c r="AE128" i="3"/>
  <c r="P128" i="3" s="1"/>
  <c r="AD128" i="3"/>
  <c r="AC128" i="3"/>
  <c r="AB128" i="3"/>
  <c r="AA128" i="3"/>
  <c r="Z128" i="3"/>
  <c r="S128" i="3"/>
  <c r="R128" i="3"/>
  <c r="Q128" i="3"/>
  <c r="K128" i="3"/>
  <c r="AB127" i="3"/>
  <c r="S127" i="3"/>
  <c r="AC127" i="3" s="1"/>
  <c r="AD127" i="3" s="1"/>
  <c r="N127" i="3"/>
  <c r="AE127" i="3" s="1"/>
  <c r="M127" i="3"/>
  <c r="L127" i="3"/>
  <c r="AA127" i="3" s="1"/>
  <c r="K127" i="3"/>
  <c r="J127" i="3"/>
  <c r="Z127" i="3" s="1"/>
  <c r="AE126" i="3"/>
  <c r="Q126" i="3" s="1"/>
  <c r="AB126" i="3"/>
  <c r="AA126" i="3"/>
  <c r="J126" i="3"/>
  <c r="AB125" i="3"/>
  <c r="AA125" i="3"/>
  <c r="Z125" i="3"/>
  <c r="S125" i="3"/>
  <c r="AC125" i="3" s="1"/>
  <c r="AD125" i="3" s="1"/>
  <c r="O125" i="3"/>
  <c r="K125" i="3"/>
  <c r="AB124" i="3"/>
  <c r="Z124" i="3"/>
  <c r="Y124" i="3"/>
  <c r="S124" i="3"/>
  <c r="AC124" i="3" s="1"/>
  <c r="AD124" i="3" s="1"/>
  <c r="O124" i="3"/>
  <c r="L124" i="3"/>
  <c r="AA124" i="3" s="1"/>
  <c r="K124" i="3"/>
  <c r="H124" i="3"/>
  <c r="AC123" i="3"/>
  <c r="AD123" i="3" s="1"/>
  <c r="AB123" i="3"/>
  <c r="AA123" i="3"/>
  <c r="Z123" i="3"/>
  <c r="S123" i="3"/>
  <c r="O123" i="3"/>
  <c r="H123" i="3" s="1"/>
  <c r="Y123" i="3" s="1"/>
  <c r="L123" i="3"/>
  <c r="K123" i="3"/>
  <c r="AB122" i="3"/>
  <c r="AA122" i="3"/>
  <c r="Z122" i="3"/>
  <c r="S122" i="3"/>
  <c r="AC122" i="3" s="1"/>
  <c r="AD122" i="3" s="1"/>
  <c r="O122" i="3"/>
  <c r="K122" i="3"/>
  <c r="AE121" i="3"/>
  <c r="AB121" i="3"/>
  <c r="AA121" i="3"/>
  <c r="Z121" i="3"/>
  <c r="P121" i="3"/>
  <c r="O121" i="3" s="1"/>
  <c r="H121" i="3" s="1"/>
  <c r="Y121" i="3" s="1"/>
  <c r="K121" i="3"/>
  <c r="J121" i="3"/>
  <c r="S121" i="3" s="1"/>
  <c r="AC121" i="3" s="1"/>
  <c r="AD121" i="3" s="1"/>
  <c r="AE120" i="3"/>
  <c r="AB120" i="3"/>
  <c r="AA120" i="3"/>
  <c r="Z120" i="3"/>
  <c r="S120" i="3"/>
  <c r="AC120" i="3" s="1"/>
  <c r="AD120" i="3" s="1"/>
  <c r="Q120" i="3"/>
  <c r="P120" i="3"/>
  <c r="K120" i="3"/>
  <c r="AB119" i="3"/>
  <c r="AA119" i="3"/>
  <c r="Z119" i="3"/>
  <c r="S119" i="3"/>
  <c r="AC119" i="3" s="1"/>
  <c r="AD119" i="3" s="1"/>
  <c r="O119" i="3"/>
  <c r="K119" i="3"/>
  <c r="AD118" i="3"/>
  <c r="AC118" i="3"/>
  <c r="AB118" i="3"/>
  <c r="AA118" i="3"/>
  <c r="Z118" i="3"/>
  <c r="S118" i="3"/>
  <c r="O118" i="3"/>
  <c r="K118" i="3"/>
  <c r="H118" i="3"/>
  <c r="Y118" i="3" s="1"/>
  <c r="AB117" i="3"/>
  <c r="AA117" i="3"/>
  <c r="Z117" i="3"/>
  <c r="S117" i="3"/>
  <c r="AC117" i="3" s="1"/>
  <c r="AD117" i="3" s="1"/>
  <c r="R117" i="3"/>
  <c r="O117" i="3"/>
  <c r="H117" i="3" s="1"/>
  <c r="Y117" i="3" s="1"/>
  <c r="K117" i="3"/>
  <c r="AC116" i="3"/>
  <c r="AD116" i="3" s="1"/>
  <c r="AB116" i="3"/>
  <c r="AA116" i="3"/>
  <c r="Z116" i="3"/>
  <c r="Y116" i="3"/>
  <c r="R116" i="3"/>
  <c r="O116" i="3" s="1"/>
  <c r="H116" i="3" s="1"/>
  <c r="L116" i="3"/>
  <c r="S116" i="3" s="1"/>
  <c r="K116" i="3"/>
  <c r="AD115" i="3"/>
  <c r="AC115" i="3"/>
  <c r="AB115" i="3"/>
  <c r="AA115" i="3"/>
  <c r="Z115" i="3"/>
  <c r="S115" i="3"/>
  <c r="O115" i="3"/>
  <c r="H115" i="3" s="1"/>
  <c r="Y115" i="3" s="1"/>
  <c r="K115" i="3"/>
  <c r="AC114" i="3"/>
  <c r="AD114" i="3" s="1"/>
  <c r="AB114" i="3"/>
  <c r="AA114" i="3"/>
  <c r="S114" i="3"/>
  <c r="H114" i="3" s="1"/>
  <c r="Y114" i="3" s="1"/>
  <c r="O114" i="3"/>
  <c r="L114" i="3"/>
  <c r="J114" i="3"/>
  <c r="AC113" i="3"/>
  <c r="AD113" i="3" s="1"/>
  <c r="AB113" i="3"/>
  <c r="AA113" i="3"/>
  <c r="Z113" i="3"/>
  <c r="S113" i="3"/>
  <c r="O113" i="3"/>
  <c r="H113" i="3" s="1"/>
  <c r="Y113" i="3" s="1"/>
  <c r="K113" i="3"/>
  <c r="AC112" i="3"/>
  <c r="AD112" i="3" s="1"/>
  <c r="AB112" i="3"/>
  <c r="Z112" i="3"/>
  <c r="O112" i="3"/>
  <c r="L112" i="3"/>
  <c r="S112" i="3" s="1"/>
  <c r="K112" i="3"/>
  <c r="AB111" i="3"/>
  <c r="AA111" i="3"/>
  <c r="Z111" i="3"/>
  <c r="S111" i="3"/>
  <c r="AC111" i="3" s="1"/>
  <c r="AD111" i="3" s="1"/>
  <c r="O111" i="3"/>
  <c r="K111" i="3"/>
  <c r="AB110" i="3"/>
  <c r="AA110" i="3"/>
  <c r="Z110" i="3"/>
  <c r="S110" i="3"/>
  <c r="AC110" i="3" s="1"/>
  <c r="AD110" i="3" s="1"/>
  <c r="O110" i="3"/>
  <c r="K110" i="3"/>
  <c r="AB109" i="3"/>
  <c r="AA109" i="3"/>
  <c r="O109" i="3"/>
  <c r="J109" i="3"/>
  <c r="Z109" i="3" s="1"/>
  <c r="AC108" i="3"/>
  <c r="AD108" i="3" s="1"/>
  <c r="AB108" i="3"/>
  <c r="AA108" i="3"/>
  <c r="Z108" i="3"/>
  <c r="S108" i="3"/>
  <c r="O108" i="3"/>
  <c r="H108" i="3" s="1"/>
  <c r="Y108" i="3" s="1"/>
  <c r="N108" i="3"/>
  <c r="K108" i="3"/>
  <c r="AA107" i="3"/>
  <c r="S107" i="3"/>
  <c r="AC107" i="3" s="1"/>
  <c r="AD107" i="3" s="1"/>
  <c r="O107" i="3"/>
  <c r="N107" i="3"/>
  <c r="AB107" i="3" s="1"/>
  <c r="J107" i="3"/>
  <c r="K107" i="3" s="1"/>
  <c r="H107" i="3"/>
  <c r="Y107" i="3" s="1"/>
  <c r="AB106" i="3"/>
  <c r="AA106" i="3"/>
  <c r="Z106" i="3"/>
  <c r="S106" i="3"/>
  <c r="AC106" i="3" s="1"/>
  <c r="AD106" i="3" s="1"/>
  <c r="O106" i="3"/>
  <c r="N106" i="3"/>
  <c r="L106" i="3"/>
  <c r="K106" i="3"/>
  <c r="H106" i="3"/>
  <c r="Y106" i="3" s="1"/>
  <c r="AB105" i="3"/>
  <c r="AA105" i="3"/>
  <c r="Z105" i="3"/>
  <c r="S105" i="3"/>
  <c r="AC105" i="3" s="1"/>
  <c r="AD105" i="3" s="1"/>
  <c r="O105" i="3"/>
  <c r="H105" i="3" s="1"/>
  <c r="Y105" i="3" s="1"/>
  <c r="K105" i="3"/>
  <c r="AB104" i="3"/>
  <c r="AA104" i="3"/>
  <c r="Z104" i="3"/>
  <c r="S104" i="3"/>
  <c r="AC104" i="3" s="1"/>
  <c r="AD104" i="3" s="1"/>
  <c r="O104" i="3"/>
  <c r="K104" i="3"/>
  <c r="AB103" i="3"/>
  <c r="AA103" i="3"/>
  <c r="Z103" i="3"/>
  <c r="S103" i="3"/>
  <c r="AC103" i="3" s="1"/>
  <c r="AD103" i="3" s="1"/>
  <c r="R103" i="3"/>
  <c r="O103" i="3"/>
  <c r="H103" i="3" s="1"/>
  <c r="Y103" i="3" s="1"/>
  <c r="L103" i="3"/>
  <c r="K103" i="3"/>
  <c r="J103" i="3"/>
  <c r="AB102" i="3"/>
  <c r="AA102" i="3"/>
  <c r="O102" i="3"/>
  <c r="L102" i="3"/>
  <c r="K102" i="3"/>
  <c r="J102" i="3"/>
  <c r="Z102" i="3" s="1"/>
  <c r="AB101" i="3"/>
  <c r="AA101" i="3"/>
  <c r="Z101" i="3"/>
  <c r="S101" i="3"/>
  <c r="AC101" i="3" s="1"/>
  <c r="AD101" i="3" s="1"/>
  <c r="O101" i="3"/>
  <c r="H101" i="3" s="1"/>
  <c r="Y101" i="3" s="1"/>
  <c r="K101" i="3"/>
  <c r="AD100" i="3"/>
  <c r="AC100" i="3"/>
  <c r="AB100" i="3"/>
  <c r="AA100" i="3"/>
  <c r="Z100" i="3"/>
  <c r="S100" i="3"/>
  <c r="O100" i="3"/>
  <c r="K100" i="3"/>
  <c r="H100" i="3"/>
  <c r="Y100" i="3" s="1"/>
  <c r="AC99" i="3"/>
  <c r="AD99" i="3" s="1"/>
  <c r="AB99" i="3"/>
  <c r="AA99" i="3"/>
  <c r="Z99" i="3"/>
  <c r="S99" i="3"/>
  <c r="O99" i="3"/>
  <c r="K99" i="3"/>
  <c r="H99" i="3"/>
  <c r="Y99" i="3" s="1"/>
  <c r="AC98" i="3"/>
  <c r="AD98" i="3" s="1"/>
  <c r="AB98" i="3"/>
  <c r="Z98" i="3"/>
  <c r="O98" i="3"/>
  <c r="L98" i="3"/>
  <c r="S98" i="3" s="1"/>
  <c r="K98" i="3"/>
  <c r="AB97" i="3"/>
  <c r="AA97" i="3"/>
  <c r="Z97" i="3"/>
  <c r="S97" i="3"/>
  <c r="AC97" i="3" s="1"/>
  <c r="AD97" i="3" s="1"/>
  <c r="O97" i="3"/>
  <c r="K97" i="3"/>
  <c r="J97" i="3"/>
  <c r="H97" i="3"/>
  <c r="Y97" i="3" s="1"/>
  <c r="AB96" i="3"/>
  <c r="AA96" i="3"/>
  <c r="Z96" i="3"/>
  <c r="S96" i="3"/>
  <c r="AC96" i="3" s="1"/>
  <c r="AD96" i="3" s="1"/>
  <c r="O96" i="3"/>
  <c r="L96" i="3"/>
  <c r="K96" i="3"/>
  <c r="AB95" i="3"/>
  <c r="AA95" i="3"/>
  <c r="Z95" i="3"/>
  <c r="S95" i="3"/>
  <c r="AC95" i="3" s="1"/>
  <c r="AD95" i="3" s="1"/>
  <c r="O95" i="3"/>
  <c r="H95" i="3" s="1"/>
  <c r="Y95" i="3" s="1"/>
  <c r="K95" i="3"/>
  <c r="AB94" i="3"/>
  <c r="AA94" i="3"/>
  <c r="Z94" i="3"/>
  <c r="S94" i="3"/>
  <c r="O94" i="3"/>
  <c r="K94" i="3"/>
  <c r="AE93" i="3"/>
  <c r="AB93" i="3"/>
  <c r="AA93" i="3"/>
  <c r="Z93" i="3"/>
  <c r="S93" i="3"/>
  <c r="AC93" i="3" s="1"/>
  <c r="AD93" i="3" s="1"/>
  <c r="Q93" i="3"/>
  <c r="O93" i="3" s="1"/>
  <c r="M93" i="3"/>
  <c r="L93" i="3"/>
  <c r="K93" i="3"/>
  <c r="AE92" i="3"/>
  <c r="AD92" i="3"/>
  <c r="AC92" i="3"/>
  <c r="AB92" i="3"/>
  <c r="AA92" i="3"/>
  <c r="Z92" i="3"/>
  <c r="S92" i="3"/>
  <c r="Q92" i="3"/>
  <c r="P92" i="3"/>
  <c r="O92" i="3" s="1"/>
  <c r="H92" i="3" s="1"/>
  <c r="Y92" i="3" s="1"/>
  <c r="K92" i="3"/>
  <c r="AE91" i="3"/>
  <c r="AB91" i="3"/>
  <c r="AA91" i="3"/>
  <c r="Z91" i="3"/>
  <c r="S91" i="3"/>
  <c r="AC91" i="3" s="1"/>
  <c r="AD91" i="3" s="1"/>
  <c r="Q91" i="3"/>
  <c r="P91" i="3"/>
  <c r="O91" i="3" s="1"/>
  <c r="H91" i="3" s="1"/>
  <c r="Y91" i="3" s="1"/>
  <c r="K91" i="3"/>
  <c r="AB90" i="3"/>
  <c r="AA90" i="3"/>
  <c r="Z90" i="3"/>
  <c r="S90" i="3"/>
  <c r="AC90" i="3" s="1"/>
  <c r="AD90" i="3" s="1"/>
  <c r="O90" i="3"/>
  <c r="M90" i="3"/>
  <c r="L90" i="3"/>
  <c r="K90" i="3"/>
  <c r="H90" i="3"/>
  <c r="Y90" i="3" s="1"/>
  <c r="AB89" i="3"/>
  <c r="AA89" i="3"/>
  <c r="Z89" i="3"/>
  <c r="S89" i="3"/>
  <c r="AC89" i="3" s="1"/>
  <c r="AD89" i="3" s="1"/>
  <c r="O89" i="3"/>
  <c r="K89" i="3"/>
  <c r="J89" i="3"/>
  <c r="H89" i="3"/>
  <c r="Y89" i="3" s="1"/>
  <c r="AC88" i="3"/>
  <c r="AD88" i="3" s="1"/>
  <c r="AB88" i="3"/>
  <c r="AA88" i="3"/>
  <c r="Z88" i="3"/>
  <c r="S88" i="3"/>
  <c r="Q88" i="3"/>
  <c r="O88" i="3" s="1"/>
  <c r="H88" i="3" s="1"/>
  <c r="Y88" i="3" s="1"/>
  <c r="K88" i="3"/>
  <c r="AC87" i="3"/>
  <c r="AD87" i="3" s="1"/>
  <c r="AB87" i="3"/>
  <c r="AA87" i="3"/>
  <c r="Z87" i="3"/>
  <c r="S87" i="3"/>
  <c r="O87" i="3"/>
  <c r="K87" i="3"/>
  <c r="H87" i="3"/>
  <c r="Y87" i="3" s="1"/>
  <c r="AB86" i="3"/>
  <c r="AA86" i="3"/>
  <c r="Z86" i="3"/>
  <c r="S86" i="3"/>
  <c r="AC86" i="3" s="1"/>
  <c r="AD86" i="3" s="1"/>
  <c r="O86" i="3"/>
  <c r="K86" i="3"/>
  <c r="AC85" i="3"/>
  <c r="AD85" i="3" s="1"/>
  <c r="AB85" i="3"/>
  <c r="AA85" i="3"/>
  <c r="Z85" i="3"/>
  <c r="Y85" i="3"/>
  <c r="S85" i="3"/>
  <c r="Q85" i="3"/>
  <c r="O85" i="3"/>
  <c r="K85" i="3"/>
  <c r="H85" i="3"/>
  <c r="AE84" i="3"/>
  <c r="AC84" i="3"/>
  <c r="AD84" i="3" s="1"/>
  <c r="AB84" i="3"/>
  <c r="AA84" i="3"/>
  <c r="Z84" i="3"/>
  <c r="S84" i="3"/>
  <c r="O84" i="3"/>
  <c r="K84" i="3"/>
  <c r="H84" i="3"/>
  <c r="Y84" i="3" s="1"/>
  <c r="AB83" i="3"/>
  <c r="AA83" i="3"/>
  <c r="Z83" i="3"/>
  <c r="S83" i="3"/>
  <c r="AC83" i="3" s="1"/>
  <c r="AD83" i="3" s="1"/>
  <c r="O83" i="3"/>
  <c r="H83" i="3" s="1"/>
  <c r="Y83" i="3" s="1"/>
  <c r="K83" i="3"/>
  <c r="AB82" i="3"/>
  <c r="AA82" i="3"/>
  <c r="Z82" i="3"/>
  <c r="S82" i="3"/>
  <c r="AC82" i="3" s="1"/>
  <c r="AD82" i="3" s="1"/>
  <c r="O82" i="3"/>
  <c r="K82" i="3"/>
  <c r="AB81" i="3"/>
  <c r="AA81" i="3"/>
  <c r="Z81" i="3"/>
  <c r="S81" i="3"/>
  <c r="AC81" i="3" s="1"/>
  <c r="AD81" i="3" s="1"/>
  <c r="O81" i="3"/>
  <c r="K81" i="3"/>
  <c r="AC80" i="3"/>
  <c r="AD80" i="3" s="1"/>
  <c r="AB80" i="3"/>
  <c r="AA80" i="3"/>
  <c r="Z80" i="3"/>
  <c r="S80" i="3"/>
  <c r="O80" i="3"/>
  <c r="K80" i="3"/>
  <c r="H80" i="3"/>
  <c r="Y80" i="3" s="1"/>
  <c r="AE79" i="3"/>
  <c r="AC79" i="3"/>
  <c r="AD79" i="3" s="1"/>
  <c r="AB79" i="3"/>
  <c r="AA79" i="3"/>
  <c r="Z79" i="3"/>
  <c r="S79" i="3"/>
  <c r="O79" i="3"/>
  <c r="H79" i="3" s="1"/>
  <c r="Y79" i="3" s="1"/>
  <c r="K79" i="3"/>
  <c r="AC78" i="3"/>
  <c r="AD78" i="3" s="1"/>
  <c r="AB78" i="3"/>
  <c r="AA78" i="3"/>
  <c r="Z78" i="3"/>
  <c r="S78" i="3"/>
  <c r="O78" i="3"/>
  <c r="K78" i="3"/>
  <c r="H78" i="3"/>
  <c r="Y78" i="3" s="1"/>
  <c r="AB77" i="3"/>
  <c r="AA77" i="3"/>
  <c r="Z77" i="3"/>
  <c r="S77" i="3"/>
  <c r="AC77" i="3" s="1"/>
  <c r="AD77" i="3" s="1"/>
  <c r="O77" i="3"/>
  <c r="H77" i="3" s="1"/>
  <c r="Y77" i="3" s="1"/>
  <c r="K77" i="3"/>
  <c r="AB76" i="3"/>
  <c r="Z76" i="3"/>
  <c r="Q76" i="3"/>
  <c r="O76" i="3" s="1"/>
  <c r="H76" i="3" s="1"/>
  <c r="Y76" i="3" s="1"/>
  <c r="L76" i="3"/>
  <c r="S76" i="3" s="1"/>
  <c r="AC76" i="3" s="1"/>
  <c r="AD76" i="3" s="1"/>
  <c r="K76" i="3"/>
  <c r="AB75" i="3"/>
  <c r="AA75" i="3"/>
  <c r="Z75" i="3"/>
  <c r="Q75" i="3"/>
  <c r="O75" i="3"/>
  <c r="H75" i="3" s="1"/>
  <c r="Y75" i="3" s="1"/>
  <c r="M75" i="3"/>
  <c r="L75" i="3"/>
  <c r="S75" i="3" s="1"/>
  <c r="AC75" i="3" s="1"/>
  <c r="AD75" i="3" s="1"/>
  <c r="K75" i="3"/>
  <c r="AE74" i="3"/>
  <c r="P74" i="3" s="1"/>
  <c r="AC74" i="3"/>
  <c r="AD74" i="3" s="1"/>
  <c r="AB74" i="3"/>
  <c r="AA74" i="3"/>
  <c r="Z74" i="3"/>
  <c r="S74" i="3"/>
  <c r="Q74" i="3"/>
  <c r="O74" i="3" s="1"/>
  <c r="H74" i="3" s="1"/>
  <c r="Y74" i="3" s="1"/>
  <c r="M74" i="3"/>
  <c r="K74" i="3"/>
  <c r="AE73" i="3"/>
  <c r="P73" i="3" s="1"/>
  <c r="O73" i="3" s="1"/>
  <c r="H73" i="3" s="1"/>
  <c r="Y73" i="3" s="1"/>
  <c r="AC73" i="3"/>
  <c r="AD73" i="3" s="1"/>
  <c r="AB73" i="3"/>
  <c r="AA73" i="3"/>
  <c r="Z73" i="3"/>
  <c r="S73" i="3"/>
  <c r="Q73" i="3"/>
  <c r="K73" i="3"/>
  <c r="AE72" i="3"/>
  <c r="AB72" i="3"/>
  <c r="AA72" i="3"/>
  <c r="Z72" i="3"/>
  <c r="S72" i="3"/>
  <c r="AC72" i="3" s="1"/>
  <c r="AD72" i="3" s="1"/>
  <c r="Q72" i="3"/>
  <c r="P72" i="3"/>
  <c r="O72" i="3" s="1"/>
  <c r="H72" i="3" s="1"/>
  <c r="Y72" i="3" s="1"/>
  <c r="K72" i="3"/>
  <c r="AB71" i="3"/>
  <c r="AA71" i="3"/>
  <c r="Z71" i="3"/>
  <c r="S71" i="3"/>
  <c r="AC71" i="3" s="1"/>
  <c r="AD71" i="3" s="1"/>
  <c r="O71" i="3"/>
  <c r="H71" i="3" s="1"/>
  <c r="Y71" i="3" s="1"/>
  <c r="K71" i="3"/>
  <c r="AB70" i="3"/>
  <c r="AA70" i="3"/>
  <c r="Z70" i="3"/>
  <c r="S70" i="3"/>
  <c r="AC70" i="3" s="1"/>
  <c r="AD70" i="3" s="1"/>
  <c r="O70" i="3"/>
  <c r="K70" i="3"/>
  <c r="AB69" i="3"/>
  <c r="AA69" i="3"/>
  <c r="Z69" i="3"/>
  <c r="S69" i="3"/>
  <c r="AC69" i="3" s="1"/>
  <c r="AD69" i="3" s="1"/>
  <c r="O69" i="3"/>
  <c r="K69" i="3"/>
  <c r="AB68" i="3"/>
  <c r="AA68" i="3"/>
  <c r="Z68" i="3"/>
  <c r="S68" i="3"/>
  <c r="AC68" i="3" s="1"/>
  <c r="AD68" i="3" s="1"/>
  <c r="O68" i="3"/>
  <c r="H68" i="3" s="1"/>
  <c r="Y68" i="3" s="1"/>
  <c r="K68" i="3"/>
  <c r="AB67" i="3"/>
  <c r="AA67" i="3"/>
  <c r="Z67" i="3"/>
  <c r="S67" i="3"/>
  <c r="AC67" i="3" s="1"/>
  <c r="AD67" i="3" s="1"/>
  <c r="O67" i="3"/>
  <c r="K67" i="3"/>
  <c r="J67" i="3"/>
  <c r="AC66" i="3"/>
  <c r="AD66" i="3" s="1"/>
  <c r="AB66" i="3"/>
  <c r="AA66" i="3"/>
  <c r="Z66" i="3"/>
  <c r="S66" i="3"/>
  <c r="O66" i="3"/>
  <c r="H66" i="3" s="1"/>
  <c r="Y66" i="3" s="1"/>
  <c r="K66" i="3"/>
  <c r="AC65" i="3"/>
  <c r="AD65" i="3" s="1"/>
  <c r="AB65" i="3"/>
  <c r="AA65" i="3"/>
  <c r="Z65" i="3"/>
  <c r="S65" i="3"/>
  <c r="R65" i="3"/>
  <c r="O65" i="3" s="1"/>
  <c r="H65" i="3" s="1"/>
  <c r="Y65" i="3" s="1"/>
  <c r="K65" i="3"/>
  <c r="AE64" i="3"/>
  <c r="AC64" i="3"/>
  <c r="AD64" i="3" s="1"/>
  <c r="AB64" i="3"/>
  <c r="AA64" i="3"/>
  <c r="Z64" i="3"/>
  <c r="S64" i="3"/>
  <c r="O64" i="3"/>
  <c r="K64" i="3"/>
  <c r="H64" i="3"/>
  <c r="Y64" i="3" s="1"/>
  <c r="AE63" i="3"/>
  <c r="AB63" i="3"/>
  <c r="AA63" i="3"/>
  <c r="Z63" i="3"/>
  <c r="S63" i="3"/>
  <c r="AC63" i="3" s="1"/>
  <c r="AD63" i="3" s="1"/>
  <c r="R63" i="3"/>
  <c r="O63" i="3"/>
  <c r="K63" i="3"/>
  <c r="H63" i="3"/>
  <c r="Y63" i="3" s="1"/>
  <c r="AC62" i="3"/>
  <c r="AD62" i="3" s="1"/>
  <c r="AB62" i="3"/>
  <c r="AA62" i="3"/>
  <c r="Z62" i="3"/>
  <c r="S62" i="3"/>
  <c r="O62" i="3"/>
  <c r="H62" i="3" s="1"/>
  <c r="Y62" i="3" s="1"/>
  <c r="K62" i="3"/>
  <c r="AB61" i="3"/>
  <c r="AA61" i="3"/>
  <c r="Z61" i="3"/>
  <c r="O61" i="3"/>
  <c r="L61" i="3"/>
  <c r="K61" i="3"/>
  <c r="J61" i="3"/>
  <c r="S61" i="3" s="1"/>
  <c r="AB60" i="3"/>
  <c r="AA60" i="3"/>
  <c r="O60" i="3"/>
  <c r="J60" i="3"/>
  <c r="S60" i="3" s="1"/>
  <c r="AC60" i="3" s="1"/>
  <c r="AD60" i="3" s="1"/>
  <c r="AB59" i="3"/>
  <c r="Z59" i="3"/>
  <c r="S59" i="3"/>
  <c r="H59" i="3" s="1"/>
  <c r="Y59" i="3" s="1"/>
  <c r="O59" i="3"/>
  <c r="L59" i="3"/>
  <c r="AA59" i="3" s="1"/>
  <c r="K59" i="3"/>
  <c r="AC58" i="3"/>
  <c r="AD58" i="3" s="1"/>
  <c r="AB58" i="3"/>
  <c r="AA58" i="3"/>
  <c r="Z58" i="3"/>
  <c r="S58" i="3"/>
  <c r="O58" i="3"/>
  <c r="H58" i="3" s="1"/>
  <c r="Y58" i="3" s="1"/>
  <c r="K58" i="3"/>
  <c r="AC57" i="3"/>
  <c r="AD57" i="3" s="1"/>
  <c r="AB57" i="3"/>
  <c r="AA57" i="3"/>
  <c r="Z57" i="3"/>
  <c r="S57" i="3"/>
  <c r="O57" i="3"/>
  <c r="K57" i="3"/>
  <c r="H57" i="3"/>
  <c r="Y57" i="3" s="1"/>
  <c r="AB56" i="3"/>
  <c r="AA56" i="3"/>
  <c r="Z56" i="3"/>
  <c r="O56" i="3"/>
  <c r="H56" i="3" s="1"/>
  <c r="Y56" i="3" s="1"/>
  <c r="M56" i="3"/>
  <c r="L56" i="3"/>
  <c r="S56" i="3" s="1"/>
  <c r="AC56" i="3" s="1"/>
  <c r="AD56" i="3" s="1"/>
  <c r="K56" i="3"/>
  <c r="AB55" i="3"/>
  <c r="AA55" i="3"/>
  <c r="Z55" i="3"/>
  <c r="O55" i="3"/>
  <c r="L55" i="3"/>
  <c r="S55" i="3" s="1"/>
  <c r="AC55" i="3" s="1"/>
  <c r="AD55" i="3" s="1"/>
  <c r="K55" i="3"/>
  <c r="AB54" i="3"/>
  <c r="AA54" i="3"/>
  <c r="Z54" i="3"/>
  <c r="S54" i="3"/>
  <c r="AC54" i="3" s="1"/>
  <c r="AD54" i="3" s="1"/>
  <c r="O54" i="3"/>
  <c r="H54" i="3" s="1"/>
  <c r="Y54" i="3" s="1"/>
  <c r="K54" i="3"/>
  <c r="AB53" i="3"/>
  <c r="Z53" i="3"/>
  <c r="S53" i="3"/>
  <c r="H53" i="3" s="1"/>
  <c r="Y53" i="3" s="1"/>
  <c r="O53" i="3"/>
  <c r="M53" i="3"/>
  <c r="L53" i="3"/>
  <c r="AA53" i="3" s="1"/>
  <c r="K53" i="3"/>
  <c r="J53" i="3"/>
  <c r="AC52" i="3"/>
  <c r="AD52" i="3" s="1"/>
  <c r="AB52" i="3"/>
  <c r="AA52" i="3"/>
  <c r="Z52" i="3"/>
  <c r="S52" i="3"/>
  <c r="Q52" i="3"/>
  <c r="O52" i="3" s="1"/>
  <c r="H52" i="3" s="1"/>
  <c r="Y52" i="3" s="1"/>
  <c r="K52" i="3"/>
  <c r="AB51" i="3"/>
  <c r="AA51" i="3"/>
  <c r="Z51" i="3"/>
  <c r="S51" i="3"/>
  <c r="AC51" i="3" s="1"/>
  <c r="AD51" i="3" s="1"/>
  <c r="O51" i="3"/>
  <c r="H51" i="3" s="1"/>
  <c r="Y51" i="3" s="1"/>
  <c r="K51" i="3"/>
  <c r="AB50" i="3"/>
  <c r="AA50" i="3"/>
  <c r="Z50" i="3"/>
  <c r="S50" i="3"/>
  <c r="AC50" i="3" s="1"/>
  <c r="AD50" i="3" s="1"/>
  <c r="O50" i="3"/>
  <c r="K50" i="3"/>
  <c r="AB49" i="3"/>
  <c r="Z49" i="3"/>
  <c r="S49" i="3"/>
  <c r="H49" i="3" s="1"/>
  <c r="Y49" i="3" s="1"/>
  <c r="O49" i="3"/>
  <c r="M49" i="3"/>
  <c r="L49" i="3"/>
  <c r="AA49" i="3" s="1"/>
  <c r="K49" i="3"/>
  <c r="AB48" i="3"/>
  <c r="AA48" i="3"/>
  <c r="Z48" i="3"/>
  <c r="S48" i="3"/>
  <c r="H48" i="3" s="1"/>
  <c r="Y48" i="3" s="1"/>
  <c r="O48" i="3"/>
  <c r="K48" i="3"/>
  <c r="J48" i="3"/>
  <c r="AB47" i="3"/>
  <c r="AA47" i="3"/>
  <c r="O47" i="3"/>
  <c r="J47" i="3"/>
  <c r="Z47" i="3" s="1"/>
  <c r="AB46" i="3"/>
  <c r="AA46" i="3"/>
  <c r="Z46" i="3"/>
  <c r="S46" i="3"/>
  <c r="AC46" i="3" s="1"/>
  <c r="AD46" i="3" s="1"/>
  <c r="O46" i="3"/>
  <c r="H46" i="3" s="1"/>
  <c r="Y46" i="3" s="1"/>
  <c r="K46" i="3"/>
  <c r="AB45" i="3"/>
  <c r="AA45" i="3"/>
  <c r="Z45" i="3"/>
  <c r="S45" i="3"/>
  <c r="AC45" i="3" s="1"/>
  <c r="AD45" i="3" s="1"/>
  <c r="O45" i="3"/>
  <c r="K45" i="3"/>
  <c r="AB44" i="3"/>
  <c r="AA44" i="3"/>
  <c r="Z44" i="3"/>
  <c r="S44" i="3"/>
  <c r="AC44" i="3" s="1"/>
  <c r="AD44" i="3" s="1"/>
  <c r="O44" i="3"/>
  <c r="H44" i="3" s="1"/>
  <c r="Y44" i="3" s="1"/>
  <c r="K44" i="3"/>
  <c r="AB43" i="3"/>
  <c r="Z43" i="3"/>
  <c r="R43" i="3"/>
  <c r="Q43" i="3"/>
  <c r="O43" i="3" s="1"/>
  <c r="L43" i="3"/>
  <c r="AA43" i="3" s="1"/>
  <c r="K43" i="3"/>
  <c r="AB42" i="3"/>
  <c r="AA42" i="3"/>
  <c r="Z42" i="3"/>
  <c r="O42" i="3"/>
  <c r="H42" i="3" s="1"/>
  <c r="Y42" i="3" s="1"/>
  <c r="L42" i="3"/>
  <c r="S42" i="3" s="1"/>
  <c r="AC42" i="3" s="1"/>
  <c r="AD42" i="3" s="1"/>
  <c r="K42" i="3"/>
  <c r="AB41" i="3"/>
  <c r="AA41" i="3"/>
  <c r="Z41" i="3"/>
  <c r="S41" i="3"/>
  <c r="AC41" i="3" s="1"/>
  <c r="AD41" i="3" s="1"/>
  <c r="O41" i="3"/>
  <c r="K41" i="3"/>
  <c r="AB40" i="3"/>
  <c r="Z40" i="3"/>
  <c r="R40" i="3"/>
  <c r="O40" i="3"/>
  <c r="M40" i="3"/>
  <c r="L40" i="3"/>
  <c r="S40" i="3" s="1"/>
  <c r="K40" i="3"/>
  <c r="AC39" i="3"/>
  <c r="AD39" i="3" s="1"/>
  <c r="AB39" i="3"/>
  <c r="AA39" i="3"/>
  <c r="Z39" i="3"/>
  <c r="S39" i="3"/>
  <c r="O39" i="3"/>
  <c r="H39" i="3" s="1"/>
  <c r="Y39" i="3" s="1"/>
  <c r="K39" i="3"/>
  <c r="AB38" i="3"/>
  <c r="Z38" i="3"/>
  <c r="P38" i="3"/>
  <c r="O38" i="3" s="1"/>
  <c r="L38" i="3"/>
  <c r="S38" i="3" s="1"/>
  <c r="AC38" i="3" s="1"/>
  <c r="AD38" i="3" s="1"/>
  <c r="K38" i="3"/>
  <c r="AC37" i="3"/>
  <c r="AD37" i="3" s="1"/>
  <c r="AB37" i="3"/>
  <c r="AA37" i="3"/>
  <c r="Z37" i="3"/>
  <c r="S37" i="3"/>
  <c r="O37" i="3"/>
  <c r="K37" i="3"/>
  <c r="H37" i="3"/>
  <c r="Y37" i="3" s="1"/>
  <c r="AC36" i="3"/>
  <c r="AD36" i="3" s="1"/>
  <c r="AB36" i="3"/>
  <c r="AA36" i="3"/>
  <c r="Z36" i="3"/>
  <c r="S36" i="3"/>
  <c r="O36" i="3"/>
  <c r="H36" i="3" s="1"/>
  <c r="Y36" i="3" s="1"/>
  <c r="K36" i="3"/>
  <c r="AB35" i="3"/>
  <c r="Z35" i="3"/>
  <c r="O35" i="3"/>
  <c r="M35" i="3"/>
  <c r="L35" i="3"/>
  <c r="S35" i="3" s="1"/>
  <c r="K35" i="3"/>
  <c r="AB34" i="3"/>
  <c r="Z34" i="3"/>
  <c r="R34" i="3"/>
  <c r="O34" i="3" s="1"/>
  <c r="L34" i="3"/>
  <c r="S34" i="3" s="1"/>
  <c r="AC34" i="3" s="1"/>
  <c r="AD34" i="3" s="1"/>
  <c r="K34" i="3"/>
  <c r="AB33" i="3"/>
  <c r="AA33" i="3"/>
  <c r="Z33" i="3"/>
  <c r="O33" i="3"/>
  <c r="L33" i="3"/>
  <c r="S33" i="3" s="1"/>
  <c r="AC33" i="3" s="1"/>
  <c r="AD33" i="3" s="1"/>
  <c r="K33" i="3"/>
  <c r="AB32" i="3"/>
  <c r="Z32" i="3"/>
  <c r="S32" i="3"/>
  <c r="AC32" i="3" s="1"/>
  <c r="AD32" i="3" s="1"/>
  <c r="O32" i="3"/>
  <c r="L32" i="3"/>
  <c r="AA32" i="3" s="1"/>
  <c r="K32" i="3"/>
  <c r="H32" i="3"/>
  <c r="Y32" i="3" s="1"/>
  <c r="AA31" i="3"/>
  <c r="Z31" i="3"/>
  <c r="O31" i="3"/>
  <c r="N31" i="3"/>
  <c r="AB31" i="3" s="1"/>
  <c r="L31" i="3"/>
  <c r="S31" i="3" s="1"/>
  <c r="AC31" i="3" s="1"/>
  <c r="AD31" i="3" s="1"/>
  <c r="K31" i="3"/>
  <c r="AB30" i="3"/>
  <c r="AA30" i="3"/>
  <c r="O30" i="3"/>
  <c r="J30" i="3"/>
  <c r="Z30" i="3" s="1"/>
  <c r="AB29" i="3"/>
  <c r="Z29" i="3"/>
  <c r="O29" i="3"/>
  <c r="L29" i="3"/>
  <c r="S29" i="3" s="1"/>
  <c r="K29" i="3"/>
  <c r="AC28" i="3"/>
  <c r="AD28" i="3" s="1"/>
  <c r="AB28" i="3"/>
  <c r="AA28" i="3"/>
  <c r="Z28" i="3"/>
  <c r="S28" i="3"/>
  <c r="O28" i="3"/>
  <c r="K28" i="3"/>
  <c r="H28" i="3"/>
  <c r="Y28" i="3" s="1"/>
  <c r="AB27" i="3"/>
  <c r="Z27" i="3"/>
  <c r="S27" i="3"/>
  <c r="AC27" i="3" s="1"/>
  <c r="AD27" i="3" s="1"/>
  <c r="O27" i="3"/>
  <c r="H27" i="3" s="1"/>
  <c r="Y27" i="3" s="1"/>
  <c r="K27" i="3"/>
  <c r="AB26" i="3"/>
  <c r="Z26" i="3"/>
  <c r="S26" i="3"/>
  <c r="AC26" i="3" s="1"/>
  <c r="AD26" i="3" s="1"/>
  <c r="Q26" i="3"/>
  <c r="O26" i="3"/>
  <c r="H26" i="3" s="1"/>
  <c r="Y26" i="3" s="1"/>
  <c r="L26" i="3"/>
  <c r="AA26" i="3" s="1"/>
  <c r="K26" i="3"/>
  <c r="AB25" i="3"/>
  <c r="AA25" i="3"/>
  <c r="Z25" i="3"/>
  <c r="S25" i="3"/>
  <c r="AC25" i="3" s="1"/>
  <c r="AD25" i="3" s="1"/>
  <c r="O25" i="3"/>
  <c r="H25" i="3" s="1"/>
  <c r="Y25" i="3" s="1"/>
  <c r="K25" i="3"/>
  <c r="AB24" i="3"/>
  <c r="AA24" i="3"/>
  <c r="Z24" i="3"/>
  <c r="S24" i="3"/>
  <c r="AC24" i="3" s="1"/>
  <c r="AD24" i="3" s="1"/>
  <c r="O24" i="3"/>
  <c r="H24" i="3" s="1"/>
  <c r="Y24" i="3" s="1"/>
  <c r="K24" i="3"/>
  <c r="AB23" i="3"/>
  <c r="Z23" i="3"/>
  <c r="S23" i="3"/>
  <c r="AC23" i="3" s="1"/>
  <c r="AD23" i="3" s="1"/>
  <c r="O23" i="3"/>
  <c r="L23" i="3"/>
  <c r="AA23" i="3" s="1"/>
  <c r="K23" i="3"/>
  <c r="H23" i="3"/>
  <c r="Y23" i="3" s="1"/>
  <c r="AC22" i="3"/>
  <c r="AD22" i="3" s="1"/>
  <c r="AB22" i="3"/>
  <c r="AA22" i="3"/>
  <c r="Z22" i="3"/>
  <c r="S22" i="3"/>
  <c r="O22" i="3"/>
  <c r="H22" i="3" s="1"/>
  <c r="Y22" i="3" s="1"/>
  <c r="K22" i="3"/>
  <c r="AC21" i="3"/>
  <c r="AD21" i="3" s="1"/>
  <c r="AB21" i="3"/>
  <c r="AA21" i="3"/>
  <c r="Z21" i="3"/>
  <c r="S21" i="3"/>
  <c r="O21" i="3"/>
  <c r="H21" i="3" s="1"/>
  <c r="Y21" i="3" s="1"/>
  <c r="M21" i="3"/>
  <c r="K21" i="3"/>
  <c r="AB20" i="3"/>
  <c r="O20" i="3"/>
  <c r="L20" i="3"/>
  <c r="AA20" i="3" s="1"/>
  <c r="J20" i="3"/>
  <c r="Z20" i="3" s="1"/>
  <c r="I20" i="3"/>
  <c r="AC19" i="3"/>
  <c r="AD19" i="3" s="1"/>
  <c r="AB19" i="3"/>
  <c r="AA19" i="3"/>
  <c r="Z19" i="3"/>
  <c r="S19" i="3"/>
  <c r="O19" i="3"/>
  <c r="K19" i="3"/>
  <c r="H19" i="3"/>
  <c r="Y19" i="3" s="1"/>
  <c r="AB18" i="3"/>
  <c r="AA18" i="3"/>
  <c r="O18" i="3"/>
  <c r="J18" i="3"/>
  <c r="Z18" i="3" s="1"/>
  <c r="AB17" i="3"/>
  <c r="AA17" i="3"/>
  <c r="Z17" i="3"/>
  <c r="O17" i="3"/>
  <c r="K17" i="3"/>
  <c r="J17" i="3"/>
  <c r="I17" i="3"/>
  <c r="AB16" i="3"/>
  <c r="AA16" i="3"/>
  <c r="Z16" i="3"/>
  <c r="S16" i="3"/>
  <c r="AC16" i="3" s="1"/>
  <c r="AD16" i="3" s="1"/>
  <c r="O16" i="3"/>
  <c r="K16" i="3"/>
  <c r="J16" i="3"/>
  <c r="H16" i="3"/>
  <c r="Y16" i="3" s="1"/>
  <c r="AB15" i="3"/>
  <c r="AA15" i="3"/>
  <c r="Z15" i="3"/>
  <c r="O15" i="3"/>
  <c r="L15" i="3"/>
  <c r="K15" i="3"/>
  <c r="J15" i="3"/>
  <c r="Z14" i="3"/>
  <c r="S14" i="3"/>
  <c r="H14" i="3" s="1"/>
  <c r="O14" i="3"/>
  <c r="N14" i="3"/>
  <c r="AE14" i="3" s="1"/>
  <c r="L14" i="3"/>
  <c r="AA14" i="3" s="1"/>
  <c r="K14" i="3"/>
  <c r="AB13" i="3"/>
  <c r="AA13" i="3"/>
  <c r="Z13" i="3"/>
  <c r="S13" i="3"/>
  <c r="AC13" i="3" s="1"/>
  <c r="AD13" i="3" s="1"/>
  <c r="O13" i="3"/>
  <c r="K13" i="3"/>
  <c r="AB12" i="3"/>
  <c r="AA12" i="3"/>
  <c r="Z12" i="3"/>
  <c r="S12" i="3"/>
  <c r="AC12" i="3" s="1"/>
  <c r="AD12" i="3" s="1"/>
  <c r="O12" i="3"/>
  <c r="H12" i="3" s="1"/>
  <c r="Y12" i="3" s="1"/>
  <c r="K12" i="3"/>
  <c r="AB11" i="3"/>
  <c r="AA11" i="3"/>
  <c r="Z11" i="3"/>
  <c r="S11" i="3"/>
  <c r="AC11" i="3" s="1"/>
  <c r="AD11" i="3" s="1"/>
  <c r="O11" i="3"/>
  <c r="K11" i="3"/>
  <c r="AB10" i="3"/>
  <c r="Z10" i="3"/>
  <c r="S10" i="3"/>
  <c r="AC10" i="3" s="1"/>
  <c r="AD10" i="3" s="1"/>
  <c r="O10" i="3"/>
  <c r="L10" i="3"/>
  <c r="AA10" i="3" s="1"/>
  <c r="K10" i="3"/>
  <c r="H10" i="3"/>
  <c r="Y10" i="3" s="1"/>
  <c r="AB9" i="3"/>
  <c r="AA9" i="3"/>
  <c r="Z9" i="3"/>
  <c r="O9" i="3"/>
  <c r="L9" i="3"/>
  <c r="S9" i="3" s="1"/>
  <c r="AC9" i="3" s="1"/>
  <c r="AD9" i="3" s="1"/>
  <c r="K9" i="3"/>
  <c r="AB8" i="3"/>
  <c r="Z8" i="3"/>
  <c r="O8" i="3"/>
  <c r="L8" i="3"/>
  <c r="L250" i="3" s="1"/>
  <c r="K8" i="3"/>
  <c r="AC7" i="3"/>
  <c r="AD7" i="3" s="1"/>
  <c r="AB7" i="3"/>
  <c r="AA7" i="3"/>
  <c r="Z7" i="3"/>
  <c r="S7" i="3"/>
  <c r="O7" i="3"/>
  <c r="K7" i="3"/>
  <c r="H7" i="3"/>
  <c r="Y7" i="3" s="1"/>
  <c r="R6" i="3"/>
  <c r="O6" i="3" s="1"/>
  <c r="K6" i="3"/>
  <c r="J6" i="3"/>
  <c r="S6" i="3" s="1"/>
  <c r="AB5" i="3"/>
  <c r="AA5" i="3"/>
  <c r="O5" i="3"/>
  <c r="J5" i="3"/>
  <c r="J250" i="3" s="1"/>
  <c r="H30" i="3" l="1"/>
  <c r="Y30" i="3" s="1"/>
  <c r="H34" i="3"/>
  <c r="Y34" i="3" s="1"/>
  <c r="H35" i="3"/>
  <c r="Y35" i="3" s="1"/>
  <c r="AC35" i="3"/>
  <c r="AD35" i="3" s="1"/>
  <c r="H47" i="3"/>
  <c r="Y47" i="3" s="1"/>
  <c r="H55" i="3"/>
  <c r="Y55" i="3" s="1"/>
  <c r="H61" i="3"/>
  <c r="Y61" i="3" s="1"/>
  <c r="AC61" i="3"/>
  <c r="AD61" i="3" s="1"/>
  <c r="Y14" i="3"/>
  <c r="AC29" i="3"/>
  <c r="AD29" i="3" s="1"/>
  <c r="H29" i="3"/>
  <c r="Y29" i="3" s="1"/>
  <c r="AC40" i="3"/>
  <c r="AD40" i="3" s="1"/>
  <c r="H40" i="3"/>
  <c r="Y40" i="3" s="1"/>
  <c r="H43" i="3"/>
  <c r="Y43" i="3" s="1"/>
  <c r="H60" i="3"/>
  <c r="Y60" i="3" s="1"/>
  <c r="H6" i="3"/>
  <c r="H9" i="3"/>
  <c r="Y9" i="3" s="1"/>
  <c r="H31" i="3"/>
  <c r="Y31" i="3" s="1"/>
  <c r="H33" i="3"/>
  <c r="Y33" i="3" s="1"/>
  <c r="H38" i="3"/>
  <c r="Y38" i="3" s="1"/>
  <c r="S43" i="3"/>
  <c r="AC43" i="3" s="1"/>
  <c r="AD43" i="3" s="1"/>
  <c r="H67" i="3"/>
  <c r="Y67" i="3" s="1"/>
  <c r="AC170" i="3"/>
  <c r="AD170" i="3" s="1"/>
  <c r="H170" i="3"/>
  <c r="Y170" i="3" s="1"/>
  <c r="K5" i="3"/>
  <c r="Z5" i="3"/>
  <c r="AA8" i="3"/>
  <c r="S18" i="3"/>
  <c r="AC18" i="3" s="1"/>
  <c r="AD18" i="3" s="1"/>
  <c r="K20" i="3"/>
  <c r="M253" i="3"/>
  <c r="M250" i="3"/>
  <c r="AA29" i="3"/>
  <c r="S30" i="3"/>
  <c r="AC30" i="3" s="1"/>
  <c r="AD30" i="3" s="1"/>
  <c r="AA40" i="3"/>
  <c r="H41" i="3"/>
  <c r="Y41" i="3" s="1"/>
  <c r="H45" i="3"/>
  <c r="Y45" i="3" s="1"/>
  <c r="S47" i="3"/>
  <c r="AC47" i="3" s="1"/>
  <c r="AD47" i="3" s="1"/>
  <c r="AC48" i="3"/>
  <c r="AD48" i="3" s="1"/>
  <c r="AC49" i="3"/>
  <c r="AD49" i="3" s="1"/>
  <c r="AC53" i="3"/>
  <c r="AD53" i="3" s="1"/>
  <c r="AC59" i="3"/>
  <c r="AD59" i="3" s="1"/>
  <c r="K60" i="3"/>
  <c r="Z60" i="3"/>
  <c r="H69" i="3"/>
  <c r="Y69" i="3" s="1"/>
  <c r="H70" i="3"/>
  <c r="Y70" i="3" s="1"/>
  <c r="H82" i="3"/>
  <c r="Y82" i="3" s="1"/>
  <c r="H86" i="3"/>
  <c r="Y86" i="3" s="1"/>
  <c r="AC94" i="3"/>
  <c r="AD94" i="3" s="1"/>
  <c r="H94" i="3"/>
  <c r="Y94" i="3" s="1"/>
  <c r="AC131" i="3"/>
  <c r="AD131" i="3" s="1"/>
  <c r="H131" i="3"/>
  <c r="Y131" i="3" s="1"/>
  <c r="H218" i="3"/>
  <c r="Y218" i="3" s="1"/>
  <c r="N253" i="3"/>
  <c r="N250" i="3"/>
  <c r="S20" i="3"/>
  <c r="S8" i="3"/>
  <c r="AB14" i="3"/>
  <c r="I253" i="3"/>
  <c r="I250" i="3"/>
  <c r="J252" i="3" s="1"/>
  <c r="S17" i="3"/>
  <c r="R253" i="3"/>
  <c r="AA34" i="3"/>
  <c r="AA35" i="3"/>
  <c r="P250" i="3"/>
  <c r="AA38" i="3"/>
  <c r="AA98" i="3"/>
  <c r="Z114" i="3"/>
  <c r="K114" i="3"/>
  <c r="AC142" i="3"/>
  <c r="AD142" i="3" s="1"/>
  <c r="H142" i="3"/>
  <c r="Y142" i="3" s="1"/>
  <c r="H162" i="3"/>
  <c r="Y162" i="3" s="1"/>
  <c r="AC162" i="3"/>
  <c r="AD162" i="3" s="1"/>
  <c r="H96" i="3"/>
  <c r="Y96" i="3" s="1"/>
  <c r="S130" i="3"/>
  <c r="AC130" i="3" s="1"/>
  <c r="AD130" i="3" s="1"/>
  <c r="AA130" i="3"/>
  <c r="AC164" i="3"/>
  <c r="AD164" i="3" s="1"/>
  <c r="H164" i="3"/>
  <c r="Y164" i="3" s="1"/>
  <c r="H5" i="3"/>
  <c r="S5" i="3"/>
  <c r="H11" i="3"/>
  <c r="Y11" i="3" s="1"/>
  <c r="H13" i="3"/>
  <c r="Y13" i="3" s="1"/>
  <c r="L253" i="3"/>
  <c r="AC14" i="3"/>
  <c r="AD14" i="3" s="1"/>
  <c r="J253" i="3"/>
  <c r="S15" i="3"/>
  <c r="S253" i="3" s="1"/>
  <c r="K18" i="3"/>
  <c r="Q250" i="3"/>
  <c r="K30" i="3"/>
  <c r="K47" i="3"/>
  <c r="H50" i="3"/>
  <c r="Y50" i="3" s="1"/>
  <c r="AA76" i="3"/>
  <c r="H81" i="3"/>
  <c r="Y81" i="3" s="1"/>
  <c r="S126" i="3"/>
  <c r="AC126" i="3" s="1"/>
  <c r="AD126" i="3" s="1"/>
  <c r="K126" i="3"/>
  <c r="Z126" i="3"/>
  <c r="R127" i="3"/>
  <c r="R250" i="3" s="1"/>
  <c r="Q127" i="3"/>
  <c r="Q253" i="3" s="1"/>
  <c r="P127" i="3"/>
  <c r="H129" i="3"/>
  <c r="Y129" i="3" s="1"/>
  <c r="AC186" i="3"/>
  <c r="AD186" i="3" s="1"/>
  <c r="H186" i="3"/>
  <c r="Y186" i="3" s="1"/>
  <c r="S109" i="3"/>
  <c r="H110" i="3"/>
  <c r="Y110" i="3" s="1"/>
  <c r="P126" i="3"/>
  <c r="O126" i="3" s="1"/>
  <c r="O128" i="3"/>
  <c r="H128" i="3" s="1"/>
  <c r="Y128" i="3" s="1"/>
  <c r="H130" i="3"/>
  <c r="Y130" i="3" s="1"/>
  <c r="AA134" i="3"/>
  <c r="AA139" i="3"/>
  <c r="H144" i="3"/>
  <c r="Y144" i="3" s="1"/>
  <c r="H158" i="3"/>
  <c r="Y158" i="3" s="1"/>
  <c r="H160" i="3"/>
  <c r="Y160" i="3" s="1"/>
  <c r="S178" i="3"/>
  <c r="AC178" i="3" s="1"/>
  <c r="AD178" i="3" s="1"/>
  <c r="Z181" i="3"/>
  <c r="K181" i="3"/>
  <c r="AC194" i="3"/>
  <c r="AD194" i="3" s="1"/>
  <c r="H194" i="3"/>
  <c r="Y194" i="3" s="1"/>
  <c r="K195" i="3"/>
  <c r="S195" i="3"/>
  <c r="H195" i="3" s="1"/>
  <c r="H231" i="3"/>
  <c r="Y231" i="3" s="1"/>
  <c r="AA112" i="3"/>
  <c r="H119" i="3"/>
  <c r="Y119" i="3" s="1"/>
  <c r="O120" i="3"/>
  <c r="H120" i="3" s="1"/>
  <c r="Y120" i="3" s="1"/>
  <c r="H125" i="3"/>
  <c r="Y125" i="3" s="1"/>
  <c r="S136" i="3"/>
  <c r="AA136" i="3"/>
  <c r="H137" i="3"/>
  <c r="Y137" i="3" s="1"/>
  <c r="H163" i="3"/>
  <c r="Y163" i="3" s="1"/>
  <c r="Z168" i="3"/>
  <c r="K168" i="3"/>
  <c r="S202" i="3"/>
  <c r="AA202" i="3"/>
  <c r="H93" i="3"/>
  <c r="Y93" i="3" s="1"/>
  <c r="H98" i="3"/>
  <c r="Y98" i="3" s="1"/>
  <c r="S102" i="3"/>
  <c r="H104" i="3"/>
  <c r="Y104" i="3" s="1"/>
  <c r="Z107" i="3"/>
  <c r="K109" i="3"/>
  <c r="H111" i="3"/>
  <c r="Y111" i="3" s="1"/>
  <c r="H112" i="3"/>
  <c r="Y112" i="3" s="1"/>
  <c r="H122" i="3"/>
  <c r="Y122" i="3" s="1"/>
  <c r="S129" i="3"/>
  <c r="AC129" i="3" s="1"/>
  <c r="AD129" i="3" s="1"/>
  <c r="AA129" i="3"/>
  <c r="H149" i="3"/>
  <c r="Y149" i="3" s="1"/>
  <c r="H151" i="3"/>
  <c r="Y151" i="3" s="1"/>
  <c r="H153" i="3"/>
  <c r="Y153" i="3" s="1"/>
  <c r="H166" i="3"/>
  <c r="Y166" i="3" s="1"/>
  <c r="H180" i="3"/>
  <c r="Y180" i="3" s="1"/>
  <c r="AC193" i="3"/>
  <c r="AD193" i="3" s="1"/>
  <c r="H193" i="3"/>
  <c r="Y193" i="3" s="1"/>
  <c r="H213" i="3"/>
  <c r="Y213" i="3" s="1"/>
  <c r="AC213" i="3"/>
  <c r="AD213" i="3" s="1"/>
  <c r="AC205" i="3"/>
  <c r="AD205" i="3" s="1"/>
  <c r="H205" i="3"/>
  <c r="Y205" i="3" s="1"/>
  <c r="S216" i="3"/>
  <c r="AA216" i="3"/>
  <c r="AC196" i="3"/>
  <c r="AD196" i="3" s="1"/>
  <c r="H196" i="3"/>
  <c r="Y196" i="3" s="1"/>
  <c r="AC207" i="3"/>
  <c r="AD207" i="3" s="1"/>
  <c r="H207" i="3"/>
  <c r="Y207" i="3" s="1"/>
  <c r="H209" i="3"/>
  <c r="Y209" i="3" s="1"/>
  <c r="S218" i="3"/>
  <c r="AC218" i="3" s="1"/>
  <c r="AD218" i="3" s="1"/>
  <c r="K218" i="3"/>
  <c r="Z218" i="3"/>
  <c r="Z240" i="3"/>
  <c r="K240" i="3"/>
  <c r="H245" i="3"/>
  <c r="Y245" i="3" s="1"/>
  <c r="AC245" i="3"/>
  <c r="AD245" i="3" s="1"/>
  <c r="AC198" i="3"/>
  <c r="AD198" i="3" s="1"/>
  <c r="H198" i="3"/>
  <c r="Y198" i="3" s="1"/>
  <c r="H200" i="3"/>
  <c r="Y200" i="3" s="1"/>
  <c r="H221" i="3"/>
  <c r="Y221" i="3" s="1"/>
  <c r="H229" i="3"/>
  <c r="Y229" i="3" s="1"/>
  <c r="H236" i="3"/>
  <c r="Y236" i="3" s="1"/>
  <c r="H240" i="3"/>
  <c r="Y240" i="3" s="1"/>
  <c r="H259" i="3"/>
  <c r="S200" i="3"/>
  <c r="AC200" i="3" s="1"/>
  <c r="AD200" i="3" s="1"/>
  <c r="S209" i="3"/>
  <c r="AC209" i="3" s="1"/>
  <c r="AD209" i="3" s="1"/>
  <c r="Z213" i="3"/>
  <c r="S231" i="3"/>
  <c r="AC231" i="3" s="1"/>
  <c r="AD231" i="3" s="1"/>
  <c r="S238" i="3"/>
  <c r="AC238" i="3" s="1"/>
  <c r="AD238" i="3" s="1"/>
  <c r="K200" i="3"/>
  <c r="K209" i="3"/>
  <c r="K231" i="3"/>
  <c r="H235" i="3"/>
  <c r="Y235" i="3" s="1"/>
  <c r="H237" i="3"/>
  <c r="Y237" i="3" s="1"/>
  <c r="K238" i="3"/>
  <c r="H216" i="3" l="1"/>
  <c r="Y216" i="3" s="1"/>
  <c r="AC216" i="3"/>
  <c r="AD216" i="3" s="1"/>
  <c r="AC102" i="3"/>
  <c r="AD102" i="3" s="1"/>
  <c r="H102" i="3"/>
  <c r="Y102" i="3" s="1"/>
  <c r="K250" i="3"/>
  <c r="H202" i="3"/>
  <c r="Y202" i="3" s="1"/>
  <c r="AC202" i="3"/>
  <c r="AD202" i="3" s="1"/>
  <c r="AC109" i="3"/>
  <c r="AD109" i="3" s="1"/>
  <c r="H109" i="3"/>
  <c r="Y109" i="3" s="1"/>
  <c r="O127" i="3"/>
  <c r="S250" i="3"/>
  <c r="AC5" i="3"/>
  <c r="AD5" i="3" s="1"/>
  <c r="P253" i="3"/>
  <c r="AC17" i="3"/>
  <c r="AD17" i="3" s="1"/>
  <c r="H17" i="3"/>
  <c r="Y17" i="3" s="1"/>
  <c r="H20" i="3"/>
  <c r="Y20" i="3" s="1"/>
  <c r="AC20" i="3"/>
  <c r="AD20" i="3" s="1"/>
  <c r="O253" i="3"/>
  <c r="H178" i="3"/>
  <c r="Y178" i="3" s="1"/>
  <c r="Y5" i="3"/>
  <c r="AC8" i="3"/>
  <c r="AD8" i="3" s="1"/>
  <c r="H8" i="3"/>
  <c r="Y8" i="3" s="1"/>
  <c r="H238" i="3"/>
  <c r="Y238" i="3" s="1"/>
  <c r="H136" i="3"/>
  <c r="Y136" i="3" s="1"/>
  <c r="AC136" i="3"/>
  <c r="AD136" i="3" s="1"/>
  <c r="H126" i="3"/>
  <c r="Y126" i="3" s="1"/>
  <c r="H15" i="3"/>
  <c r="AC15" i="3"/>
  <c r="AD15" i="3" s="1"/>
  <c r="H18" i="3"/>
  <c r="Y18" i="3" s="1"/>
  <c r="Y15" i="3" l="1"/>
  <c r="H253" i="3"/>
  <c r="H127" i="3"/>
  <c r="O250" i="3"/>
  <c r="Y127" i="3" l="1"/>
  <c r="H250" i="3"/>
  <c r="Y250" i="3" s="1"/>
  <c r="R259" i="2" l="1"/>
  <c r="O259" i="2"/>
  <c r="L259" i="2"/>
  <c r="J259" i="2"/>
  <c r="S259" i="2" s="1"/>
  <c r="S258" i="2"/>
  <c r="O258" i="2"/>
  <c r="N258" i="2"/>
  <c r="J258" i="2"/>
  <c r="H258" i="2"/>
  <c r="O256" i="2"/>
  <c r="L256" i="2"/>
  <c r="J256" i="2"/>
  <c r="S256" i="2" s="1"/>
  <c r="H256" i="2" s="1"/>
  <c r="O255" i="2"/>
  <c r="L255" i="2"/>
  <c r="J255" i="2"/>
  <c r="S255" i="2" s="1"/>
  <c r="S249" i="2"/>
  <c r="O249" i="2"/>
  <c r="H249" i="2" s="1"/>
  <c r="K249" i="2"/>
  <c r="S248" i="2"/>
  <c r="O248" i="2"/>
  <c r="H248" i="2" s="1"/>
  <c r="K248" i="2"/>
  <c r="S247" i="2"/>
  <c r="O247" i="2"/>
  <c r="K247" i="2"/>
  <c r="S246" i="2"/>
  <c r="O246" i="2"/>
  <c r="K246" i="2"/>
  <c r="AB245" i="2"/>
  <c r="Z245" i="2"/>
  <c r="S245" i="2"/>
  <c r="H245" i="2" s="1"/>
  <c r="Y245" i="2" s="1"/>
  <c r="O245" i="2"/>
  <c r="M245" i="2"/>
  <c r="L245" i="2"/>
  <c r="AA245" i="2" s="1"/>
  <c r="K245" i="2"/>
  <c r="AB244" i="2"/>
  <c r="AA244" i="2"/>
  <c r="Z244" i="2"/>
  <c r="S244" i="2"/>
  <c r="AC244" i="2" s="1"/>
  <c r="AD244" i="2" s="1"/>
  <c r="O244" i="2"/>
  <c r="H244" i="2" s="1"/>
  <c r="Y244" i="2" s="1"/>
  <c r="K244" i="2"/>
  <c r="AB243" i="2"/>
  <c r="AA243" i="2"/>
  <c r="Z243" i="2"/>
  <c r="S243" i="2"/>
  <c r="AC243" i="2" s="1"/>
  <c r="AD243" i="2" s="1"/>
  <c r="O243" i="2"/>
  <c r="K243" i="2"/>
  <c r="J243" i="2"/>
  <c r="H243" i="2"/>
  <c r="Y243" i="2" s="1"/>
  <c r="AC242" i="2"/>
  <c r="AD242" i="2" s="1"/>
  <c r="AB242" i="2"/>
  <c r="AA242" i="2"/>
  <c r="Z242" i="2"/>
  <c r="S242" i="2"/>
  <c r="O242" i="2"/>
  <c r="H242" i="2" s="1"/>
  <c r="Y242" i="2" s="1"/>
  <c r="K242" i="2"/>
  <c r="AE241" i="2"/>
  <c r="AB241" i="2"/>
  <c r="AA241" i="2"/>
  <c r="Z241" i="2"/>
  <c r="S241" i="2"/>
  <c r="AC241" i="2" s="1"/>
  <c r="AD241" i="2" s="1"/>
  <c r="P241" i="2"/>
  <c r="O241" i="2"/>
  <c r="H241" i="2" s="1"/>
  <c r="Y241" i="2" s="1"/>
  <c r="K241" i="2"/>
  <c r="AE240" i="2"/>
  <c r="AB240" i="2"/>
  <c r="AA240" i="2"/>
  <c r="Z240" i="2"/>
  <c r="P240" i="2"/>
  <c r="O240" i="2"/>
  <c r="H240" i="2" s="1"/>
  <c r="Y240" i="2" s="1"/>
  <c r="J240" i="2"/>
  <c r="S240" i="2" s="1"/>
  <c r="AC240" i="2" s="1"/>
  <c r="AD240" i="2" s="1"/>
  <c r="AB239" i="2"/>
  <c r="Z239" i="2"/>
  <c r="O239" i="2"/>
  <c r="L239" i="2"/>
  <c r="K239" i="2"/>
  <c r="AB238" i="2"/>
  <c r="AA238" i="2"/>
  <c r="O238" i="2"/>
  <c r="J238" i="2"/>
  <c r="AB237" i="2"/>
  <c r="AA237" i="2"/>
  <c r="Z237" i="2"/>
  <c r="S237" i="2"/>
  <c r="AC237" i="2" s="1"/>
  <c r="AD237" i="2" s="1"/>
  <c r="O237" i="2"/>
  <c r="K237" i="2"/>
  <c r="AB236" i="2"/>
  <c r="AA236" i="2"/>
  <c r="Z236" i="2"/>
  <c r="S236" i="2"/>
  <c r="AC236" i="2" s="1"/>
  <c r="AD236" i="2" s="1"/>
  <c r="O236" i="2"/>
  <c r="H236" i="2" s="1"/>
  <c r="Y236" i="2" s="1"/>
  <c r="K236" i="2"/>
  <c r="AB235" i="2"/>
  <c r="AA235" i="2"/>
  <c r="Z235" i="2"/>
  <c r="S235" i="2"/>
  <c r="O235" i="2"/>
  <c r="K235" i="2"/>
  <c r="AB234" i="2"/>
  <c r="AA234" i="2"/>
  <c r="Z234" i="2"/>
  <c r="S234" i="2"/>
  <c r="AC234" i="2" s="1"/>
  <c r="AD234" i="2" s="1"/>
  <c r="O234" i="2"/>
  <c r="H234" i="2" s="1"/>
  <c r="Y234" i="2" s="1"/>
  <c r="K234" i="2"/>
  <c r="AB233" i="2"/>
  <c r="AA233" i="2"/>
  <c r="Z233" i="2"/>
  <c r="S233" i="2"/>
  <c r="AC233" i="2" s="1"/>
  <c r="AD233" i="2" s="1"/>
  <c r="O233" i="2"/>
  <c r="K233" i="2"/>
  <c r="J233" i="2"/>
  <c r="H233" i="2"/>
  <c r="Y233" i="2" s="1"/>
  <c r="AC232" i="2"/>
  <c r="AD232" i="2" s="1"/>
  <c r="AB232" i="2"/>
  <c r="AA232" i="2"/>
  <c r="Z232" i="2"/>
  <c r="S232" i="2"/>
  <c r="O232" i="2"/>
  <c r="H232" i="2" s="1"/>
  <c r="Y232" i="2" s="1"/>
  <c r="K232" i="2"/>
  <c r="AB231" i="2"/>
  <c r="AA231" i="2"/>
  <c r="O231" i="2"/>
  <c r="J231" i="2"/>
  <c r="AB230" i="2"/>
  <c r="AA230" i="2"/>
  <c r="Z230" i="2"/>
  <c r="S230" i="2"/>
  <c r="AC230" i="2" s="1"/>
  <c r="AD230" i="2" s="1"/>
  <c r="O230" i="2"/>
  <c r="K230" i="2"/>
  <c r="AB229" i="2"/>
  <c r="AA229" i="2"/>
  <c r="Z229" i="2"/>
  <c r="S229" i="2"/>
  <c r="AC229" i="2" s="1"/>
  <c r="AD229" i="2" s="1"/>
  <c r="O229" i="2"/>
  <c r="H229" i="2" s="1"/>
  <c r="Y229" i="2" s="1"/>
  <c r="K229" i="2"/>
  <c r="AB228" i="2"/>
  <c r="AA228" i="2"/>
  <c r="Z228" i="2"/>
  <c r="S228" i="2"/>
  <c r="AC228" i="2" s="1"/>
  <c r="AD228" i="2" s="1"/>
  <c r="O228" i="2"/>
  <c r="K228" i="2"/>
  <c r="AB227" i="2"/>
  <c r="Z227" i="2"/>
  <c r="O227" i="2"/>
  <c r="L227" i="2"/>
  <c r="K227" i="2"/>
  <c r="AC226" i="2"/>
  <c r="AD226" i="2" s="1"/>
  <c r="AB226" i="2"/>
  <c r="AA226" i="2"/>
  <c r="Z226" i="2"/>
  <c r="S226" i="2"/>
  <c r="O226" i="2"/>
  <c r="K226" i="2"/>
  <c r="H226" i="2"/>
  <c r="Y226" i="2" s="1"/>
  <c r="AC225" i="2"/>
  <c r="AD225" i="2" s="1"/>
  <c r="AB225" i="2"/>
  <c r="AA225" i="2"/>
  <c r="Z225" i="2"/>
  <c r="S225" i="2"/>
  <c r="O225" i="2"/>
  <c r="H225" i="2" s="1"/>
  <c r="Y225" i="2" s="1"/>
  <c r="K225" i="2"/>
  <c r="AC224" i="2"/>
  <c r="AD224" i="2" s="1"/>
  <c r="AB224" i="2"/>
  <c r="AA224" i="2"/>
  <c r="Z224" i="2"/>
  <c r="S224" i="2"/>
  <c r="O224" i="2"/>
  <c r="K224" i="2"/>
  <c r="H224" i="2"/>
  <c r="Y224" i="2" s="1"/>
  <c r="AC223" i="2"/>
  <c r="AD223" i="2" s="1"/>
  <c r="AB223" i="2"/>
  <c r="AA223" i="2"/>
  <c r="Z223" i="2"/>
  <c r="S223" i="2"/>
  <c r="O223" i="2"/>
  <c r="H223" i="2" s="1"/>
  <c r="Y223" i="2" s="1"/>
  <c r="K223" i="2"/>
  <c r="AC222" i="2"/>
  <c r="AD222" i="2" s="1"/>
  <c r="AB222" i="2"/>
  <c r="AA222" i="2"/>
  <c r="Z222" i="2"/>
  <c r="S222" i="2"/>
  <c r="O222" i="2"/>
  <c r="K222" i="2"/>
  <c r="H222" i="2"/>
  <c r="Y222" i="2" s="1"/>
  <c r="AB221" i="2"/>
  <c r="AA221" i="2"/>
  <c r="Z221" i="2"/>
  <c r="O221" i="2"/>
  <c r="H221" i="2" s="1"/>
  <c r="Y221" i="2" s="1"/>
  <c r="L221" i="2"/>
  <c r="S221" i="2" s="1"/>
  <c r="AC221" i="2" s="1"/>
  <c r="AD221" i="2" s="1"/>
  <c r="K221" i="2"/>
  <c r="AB220" i="2"/>
  <c r="AA220" i="2"/>
  <c r="Z220" i="2"/>
  <c r="S220" i="2"/>
  <c r="AC220" i="2" s="1"/>
  <c r="AD220" i="2" s="1"/>
  <c r="O220" i="2"/>
  <c r="K220" i="2"/>
  <c r="J220" i="2"/>
  <c r="H220" i="2"/>
  <c r="Y220" i="2" s="1"/>
  <c r="AC219" i="2"/>
  <c r="AD219" i="2" s="1"/>
  <c r="AB219" i="2"/>
  <c r="AA219" i="2"/>
  <c r="Z219" i="2"/>
  <c r="S219" i="2"/>
  <c r="O219" i="2"/>
  <c r="K219" i="2"/>
  <c r="H219" i="2"/>
  <c r="Y219" i="2" s="1"/>
  <c r="AE218" i="2"/>
  <c r="AB218" i="2"/>
  <c r="S218" i="2"/>
  <c r="AC218" i="2" s="1"/>
  <c r="AD218" i="2" s="1"/>
  <c r="Q218" i="2"/>
  <c r="P218" i="2"/>
  <c r="O218" i="2" s="1"/>
  <c r="L218" i="2"/>
  <c r="AA218" i="2" s="1"/>
  <c r="J218" i="2"/>
  <c r="Z218" i="2" s="1"/>
  <c r="AE217" i="2"/>
  <c r="P217" i="2" s="1"/>
  <c r="AC217" i="2"/>
  <c r="AD217" i="2" s="1"/>
  <c r="AB217" i="2"/>
  <c r="AA217" i="2"/>
  <c r="Z217" i="2"/>
  <c r="S217" i="2"/>
  <c r="Q217" i="2"/>
  <c r="K217" i="2"/>
  <c r="AB216" i="2"/>
  <c r="AA216" i="2"/>
  <c r="Z216" i="2"/>
  <c r="O216" i="2"/>
  <c r="M216" i="2"/>
  <c r="L216" i="2"/>
  <c r="S216" i="2" s="1"/>
  <c r="K216" i="2"/>
  <c r="AC215" i="2"/>
  <c r="AD215" i="2" s="1"/>
  <c r="AB215" i="2"/>
  <c r="AA215" i="2"/>
  <c r="Z215" i="2"/>
  <c r="S215" i="2"/>
  <c r="O215" i="2"/>
  <c r="H215" i="2" s="1"/>
  <c r="Y215" i="2" s="1"/>
  <c r="K215" i="2"/>
  <c r="AC214" i="2"/>
  <c r="AD214" i="2" s="1"/>
  <c r="AB214" i="2"/>
  <c r="AA214" i="2"/>
  <c r="Z214" i="2"/>
  <c r="S214" i="2"/>
  <c r="O214" i="2"/>
  <c r="K214" i="2"/>
  <c r="H214" i="2"/>
  <c r="Y214" i="2" s="1"/>
  <c r="AB213" i="2"/>
  <c r="AA213" i="2"/>
  <c r="O213" i="2"/>
  <c r="L213" i="2"/>
  <c r="K213" i="2"/>
  <c r="J213" i="2"/>
  <c r="S213" i="2" s="1"/>
  <c r="AE212" i="2"/>
  <c r="AB212" i="2"/>
  <c r="AA212" i="2"/>
  <c r="Z212" i="2"/>
  <c r="S212" i="2"/>
  <c r="AC212" i="2" s="1"/>
  <c r="AD212" i="2" s="1"/>
  <c r="Q212" i="2"/>
  <c r="P212" i="2"/>
  <c r="O212" i="2" s="1"/>
  <c r="H212" i="2" s="1"/>
  <c r="Y212" i="2" s="1"/>
  <c r="K212" i="2"/>
  <c r="J212" i="2"/>
  <c r="AC211" i="2"/>
  <c r="AD211" i="2" s="1"/>
  <c r="AB211" i="2"/>
  <c r="AA211" i="2"/>
  <c r="Z211" i="2"/>
  <c r="S211" i="2"/>
  <c r="O211" i="2"/>
  <c r="K211" i="2"/>
  <c r="H211" i="2"/>
  <c r="Y211" i="2" s="1"/>
  <c r="AC210" i="2"/>
  <c r="AD210" i="2" s="1"/>
  <c r="AB210" i="2"/>
  <c r="AA210" i="2"/>
  <c r="Z210" i="2"/>
  <c r="S210" i="2"/>
  <c r="O210" i="2"/>
  <c r="H210" i="2" s="1"/>
  <c r="Y210" i="2" s="1"/>
  <c r="K210" i="2"/>
  <c r="AB209" i="2"/>
  <c r="AA209" i="2"/>
  <c r="O209" i="2"/>
  <c r="J209" i="2"/>
  <c r="AB208" i="2"/>
  <c r="AA208" i="2"/>
  <c r="Z208" i="2"/>
  <c r="S208" i="2"/>
  <c r="AC208" i="2" s="1"/>
  <c r="AD208" i="2" s="1"/>
  <c r="O208" i="2"/>
  <c r="K208" i="2"/>
  <c r="AB207" i="2"/>
  <c r="AA207" i="2"/>
  <c r="Z207" i="2"/>
  <c r="S207" i="2"/>
  <c r="AC207" i="2" s="1"/>
  <c r="AD207" i="2" s="1"/>
  <c r="O207" i="2"/>
  <c r="K207" i="2"/>
  <c r="AB206" i="2"/>
  <c r="AA206" i="2"/>
  <c r="Z206" i="2"/>
  <c r="S206" i="2"/>
  <c r="AC206" i="2" s="1"/>
  <c r="AD206" i="2" s="1"/>
  <c r="O206" i="2"/>
  <c r="K206" i="2"/>
  <c r="AB205" i="2"/>
  <c r="AA205" i="2"/>
  <c r="Z205" i="2"/>
  <c r="S205" i="2"/>
  <c r="AC205" i="2" s="1"/>
  <c r="AD205" i="2" s="1"/>
  <c r="O205" i="2"/>
  <c r="H205" i="2" s="1"/>
  <c r="Y205" i="2" s="1"/>
  <c r="K205" i="2"/>
  <c r="AB204" i="2"/>
  <c r="Z204" i="2"/>
  <c r="S204" i="2"/>
  <c r="O204" i="2"/>
  <c r="N204" i="2"/>
  <c r="L204" i="2"/>
  <c r="AA204" i="2" s="1"/>
  <c r="K204" i="2"/>
  <c r="J204" i="2"/>
  <c r="AC203" i="2"/>
  <c r="AD203" i="2" s="1"/>
  <c r="AB203" i="2"/>
  <c r="AA203" i="2"/>
  <c r="Z203" i="2"/>
  <c r="S203" i="2"/>
  <c r="O203" i="2"/>
  <c r="K203" i="2"/>
  <c r="H203" i="2"/>
  <c r="Y203" i="2" s="1"/>
  <c r="AB202" i="2"/>
  <c r="AA202" i="2"/>
  <c r="Z202" i="2"/>
  <c r="O202" i="2"/>
  <c r="M202" i="2"/>
  <c r="L202" i="2"/>
  <c r="S202" i="2" s="1"/>
  <c r="K202" i="2"/>
  <c r="AC201" i="2"/>
  <c r="AD201" i="2" s="1"/>
  <c r="AB201" i="2"/>
  <c r="AA201" i="2"/>
  <c r="Z201" i="2"/>
  <c r="S201" i="2"/>
  <c r="O201" i="2"/>
  <c r="H201" i="2" s="1"/>
  <c r="Y201" i="2" s="1"/>
  <c r="K201" i="2"/>
  <c r="AB200" i="2"/>
  <c r="AA200" i="2"/>
  <c r="O200" i="2"/>
  <c r="J200" i="2"/>
  <c r="AB199" i="2"/>
  <c r="AA199" i="2"/>
  <c r="Z199" i="2"/>
  <c r="S199" i="2"/>
  <c r="AC199" i="2" s="1"/>
  <c r="AD199" i="2" s="1"/>
  <c r="O199" i="2"/>
  <c r="K199" i="2"/>
  <c r="AB198" i="2"/>
  <c r="AA198" i="2"/>
  <c r="Z198" i="2"/>
  <c r="S198" i="2"/>
  <c r="AC198" i="2" s="1"/>
  <c r="AD198" i="2" s="1"/>
  <c r="O198" i="2"/>
  <c r="H198" i="2" s="1"/>
  <c r="Y198" i="2" s="1"/>
  <c r="K198" i="2"/>
  <c r="AB197" i="2"/>
  <c r="AA197" i="2"/>
  <c r="Z197" i="2"/>
  <c r="S197" i="2"/>
  <c r="AC197" i="2" s="1"/>
  <c r="AD197" i="2" s="1"/>
  <c r="O197" i="2"/>
  <c r="K197" i="2"/>
  <c r="AB196" i="2"/>
  <c r="AA196" i="2"/>
  <c r="Z196" i="2"/>
  <c r="S196" i="2"/>
  <c r="AC196" i="2" s="1"/>
  <c r="AD196" i="2" s="1"/>
  <c r="O196" i="2"/>
  <c r="H196" i="2" s="1"/>
  <c r="Y196" i="2" s="1"/>
  <c r="K196" i="2"/>
  <c r="O195" i="2"/>
  <c r="M195" i="2"/>
  <c r="J195" i="2"/>
  <c r="S195" i="2" s="1"/>
  <c r="H195" i="2" s="1"/>
  <c r="AB194" i="2"/>
  <c r="AA194" i="2"/>
  <c r="Z194" i="2"/>
  <c r="S194" i="2"/>
  <c r="AC194" i="2" s="1"/>
  <c r="AD194" i="2" s="1"/>
  <c r="O194" i="2"/>
  <c r="H194" i="2" s="1"/>
  <c r="Y194" i="2" s="1"/>
  <c r="K194" i="2"/>
  <c r="AB193" i="2"/>
  <c r="AA193" i="2"/>
  <c r="Z193" i="2"/>
  <c r="S193" i="2"/>
  <c r="O193" i="2"/>
  <c r="K193" i="2"/>
  <c r="AB192" i="2"/>
  <c r="AA192" i="2"/>
  <c r="Z192" i="2"/>
  <c r="S192" i="2"/>
  <c r="AC192" i="2" s="1"/>
  <c r="AD192" i="2" s="1"/>
  <c r="O192" i="2"/>
  <c r="H192" i="2" s="1"/>
  <c r="Y192" i="2" s="1"/>
  <c r="K192" i="2"/>
  <c r="AB191" i="2"/>
  <c r="Z191" i="2"/>
  <c r="S191" i="2"/>
  <c r="AC191" i="2" s="1"/>
  <c r="AD191" i="2" s="1"/>
  <c r="O191" i="2"/>
  <c r="H191" i="2" s="1"/>
  <c r="Y191" i="2" s="1"/>
  <c r="K191" i="2"/>
  <c r="AC190" i="2"/>
  <c r="AD190" i="2" s="1"/>
  <c r="AB190" i="2"/>
  <c r="AA190" i="2"/>
  <c r="Z190" i="2"/>
  <c r="S190" i="2"/>
  <c r="O190" i="2"/>
  <c r="K190" i="2"/>
  <c r="H190" i="2"/>
  <c r="Y190" i="2" s="1"/>
  <c r="AC189" i="2"/>
  <c r="AD189" i="2" s="1"/>
  <c r="AB189" i="2"/>
  <c r="AA189" i="2"/>
  <c r="Z189" i="2"/>
  <c r="S189" i="2"/>
  <c r="O189" i="2"/>
  <c r="K189" i="2"/>
  <c r="H189" i="2"/>
  <c r="Y189" i="2" s="1"/>
  <c r="AC188" i="2"/>
  <c r="AD188" i="2" s="1"/>
  <c r="AB188" i="2"/>
  <c r="AA188" i="2"/>
  <c r="Z188" i="2"/>
  <c r="S188" i="2"/>
  <c r="O188" i="2"/>
  <c r="K188" i="2"/>
  <c r="H188" i="2"/>
  <c r="Y188" i="2" s="1"/>
  <c r="AB187" i="2"/>
  <c r="AA187" i="2"/>
  <c r="Z187" i="2"/>
  <c r="S187" i="2"/>
  <c r="AC187" i="2" s="1"/>
  <c r="AD187" i="2" s="1"/>
  <c r="O187" i="2"/>
  <c r="K187" i="2"/>
  <c r="AD186" i="2"/>
  <c r="AC186" i="2"/>
  <c r="AB186" i="2"/>
  <c r="AA186" i="2"/>
  <c r="Z186" i="2"/>
  <c r="S186" i="2"/>
  <c r="O186" i="2"/>
  <c r="K186" i="2"/>
  <c r="H186" i="2"/>
  <c r="Y186" i="2" s="1"/>
  <c r="AB185" i="2"/>
  <c r="AA185" i="2"/>
  <c r="Z185" i="2"/>
  <c r="S185" i="2"/>
  <c r="AC185" i="2" s="1"/>
  <c r="AD185" i="2" s="1"/>
  <c r="Q185" i="2"/>
  <c r="O185" i="2" s="1"/>
  <c r="L185" i="2"/>
  <c r="K185" i="2"/>
  <c r="H185" i="2"/>
  <c r="Y185" i="2" s="1"/>
  <c r="AB184" i="2"/>
  <c r="AA184" i="2"/>
  <c r="Z184" i="2"/>
  <c r="S184" i="2"/>
  <c r="AC184" i="2" s="1"/>
  <c r="AD184" i="2" s="1"/>
  <c r="O184" i="2"/>
  <c r="K184" i="2"/>
  <c r="AD183" i="2"/>
  <c r="AC183" i="2"/>
  <c r="AB183" i="2"/>
  <c r="AA183" i="2"/>
  <c r="Z183" i="2"/>
  <c r="S183" i="2"/>
  <c r="O183" i="2"/>
  <c r="K183" i="2"/>
  <c r="H183" i="2"/>
  <c r="Y183" i="2" s="1"/>
  <c r="AB182" i="2"/>
  <c r="AA182" i="2"/>
  <c r="Z182" i="2"/>
  <c r="S182" i="2"/>
  <c r="AC182" i="2" s="1"/>
  <c r="AD182" i="2" s="1"/>
  <c r="O182" i="2"/>
  <c r="K182" i="2"/>
  <c r="AB181" i="2"/>
  <c r="AA181" i="2"/>
  <c r="Z181" i="2"/>
  <c r="O181" i="2"/>
  <c r="J181" i="2"/>
  <c r="AC180" i="2"/>
  <c r="AD180" i="2" s="1"/>
  <c r="AB180" i="2"/>
  <c r="AA180" i="2"/>
  <c r="Z180" i="2"/>
  <c r="S180" i="2"/>
  <c r="O180" i="2"/>
  <c r="K180" i="2"/>
  <c r="H180" i="2"/>
  <c r="Y180" i="2" s="1"/>
  <c r="AB179" i="2"/>
  <c r="AA179" i="2"/>
  <c r="Z179" i="2"/>
  <c r="S179" i="2"/>
  <c r="AC179" i="2" s="1"/>
  <c r="AD179" i="2" s="1"/>
  <c r="O179" i="2"/>
  <c r="H179" i="2" s="1"/>
  <c r="Y179" i="2" s="1"/>
  <c r="K179" i="2"/>
  <c r="AB178" i="2"/>
  <c r="S178" i="2"/>
  <c r="AC178" i="2" s="1"/>
  <c r="AD178" i="2" s="1"/>
  <c r="R178" i="2"/>
  <c r="O178" i="2" s="1"/>
  <c r="L178" i="2"/>
  <c r="AA178" i="2" s="1"/>
  <c r="K178" i="2"/>
  <c r="J178" i="2"/>
  <c r="Z178" i="2" s="1"/>
  <c r="AD177" i="2"/>
  <c r="AC177" i="2"/>
  <c r="AB177" i="2"/>
  <c r="AA177" i="2"/>
  <c r="Z177" i="2"/>
  <c r="S177" i="2"/>
  <c r="O177" i="2"/>
  <c r="K177" i="2"/>
  <c r="H177" i="2"/>
  <c r="Y177" i="2" s="1"/>
  <c r="AB176" i="2"/>
  <c r="AA176" i="2"/>
  <c r="S176" i="2"/>
  <c r="AC176" i="2" s="1"/>
  <c r="AD176" i="2" s="1"/>
  <c r="O176" i="2"/>
  <c r="K176" i="2"/>
  <c r="J176" i="2"/>
  <c r="Z176" i="2" s="1"/>
  <c r="H176" i="2"/>
  <c r="Y176" i="2" s="1"/>
  <c r="AB175" i="2"/>
  <c r="AA175" i="2"/>
  <c r="Z175" i="2"/>
  <c r="S175" i="2"/>
  <c r="AC175" i="2" s="1"/>
  <c r="AD175" i="2" s="1"/>
  <c r="O175" i="2"/>
  <c r="H175" i="2" s="1"/>
  <c r="Y175" i="2" s="1"/>
  <c r="K175" i="2"/>
  <c r="AB174" i="2"/>
  <c r="Z174" i="2"/>
  <c r="Y174" i="2"/>
  <c r="S174" i="2"/>
  <c r="AC174" i="2" s="1"/>
  <c r="AD174" i="2" s="1"/>
  <c r="O174" i="2"/>
  <c r="L174" i="2"/>
  <c r="AA174" i="2" s="1"/>
  <c r="K174" i="2"/>
  <c r="H174" i="2"/>
  <c r="AB173" i="2"/>
  <c r="AA173" i="2"/>
  <c r="Z173" i="2"/>
  <c r="S173" i="2"/>
  <c r="AC173" i="2" s="1"/>
  <c r="AD173" i="2" s="1"/>
  <c r="O173" i="2"/>
  <c r="K173" i="2"/>
  <c r="AD172" i="2"/>
  <c r="AC172" i="2"/>
  <c r="AB172" i="2"/>
  <c r="AA172" i="2"/>
  <c r="Z172" i="2"/>
  <c r="S172" i="2"/>
  <c r="O172" i="2"/>
  <c r="K172" i="2"/>
  <c r="H172" i="2"/>
  <c r="Y172" i="2" s="1"/>
  <c r="AB171" i="2"/>
  <c r="AA171" i="2"/>
  <c r="Z171" i="2"/>
  <c r="S171" i="2"/>
  <c r="AC171" i="2" s="1"/>
  <c r="AD171" i="2" s="1"/>
  <c r="O171" i="2"/>
  <c r="K171" i="2"/>
  <c r="AD170" i="2"/>
  <c r="AC170" i="2"/>
  <c r="AB170" i="2"/>
  <c r="AA170" i="2"/>
  <c r="Z170" i="2"/>
  <c r="S170" i="2"/>
  <c r="O170" i="2"/>
  <c r="K170" i="2"/>
  <c r="H170" i="2"/>
  <c r="Y170" i="2" s="1"/>
  <c r="AB169" i="2"/>
  <c r="AA169" i="2"/>
  <c r="Z169" i="2"/>
  <c r="S169" i="2"/>
  <c r="AC169" i="2" s="1"/>
  <c r="AD169" i="2" s="1"/>
  <c r="O169" i="2"/>
  <c r="K169" i="2"/>
  <c r="AB168" i="2"/>
  <c r="AA168" i="2"/>
  <c r="Z168" i="2"/>
  <c r="O168" i="2"/>
  <c r="J168" i="2"/>
  <c r="AB167" i="2"/>
  <c r="Z167" i="2"/>
  <c r="O167" i="2"/>
  <c r="M167" i="2"/>
  <c r="L167" i="2"/>
  <c r="K167" i="2"/>
  <c r="AB166" i="2"/>
  <c r="AA166" i="2"/>
  <c r="Z166" i="2"/>
  <c r="S166" i="2"/>
  <c r="AC166" i="2" s="1"/>
  <c r="AD166" i="2" s="1"/>
  <c r="O166" i="2"/>
  <c r="K166" i="2"/>
  <c r="AB165" i="2"/>
  <c r="AA165" i="2"/>
  <c r="Z165" i="2"/>
  <c r="S165" i="2"/>
  <c r="AC165" i="2" s="1"/>
  <c r="AD165" i="2" s="1"/>
  <c r="O165" i="2"/>
  <c r="H165" i="2" s="1"/>
  <c r="Y165" i="2" s="1"/>
  <c r="K165" i="2"/>
  <c r="AB164" i="2"/>
  <c r="Z164" i="2"/>
  <c r="O164" i="2"/>
  <c r="M164" i="2"/>
  <c r="L164" i="2"/>
  <c r="AA164" i="2" s="1"/>
  <c r="K164" i="2"/>
  <c r="AB163" i="2"/>
  <c r="AA163" i="2"/>
  <c r="Z163" i="2"/>
  <c r="S163" i="2"/>
  <c r="O163" i="2"/>
  <c r="K163" i="2"/>
  <c r="AB162" i="2"/>
  <c r="Z162" i="2"/>
  <c r="O162" i="2"/>
  <c r="L162" i="2"/>
  <c r="AA162" i="2" s="1"/>
  <c r="K162" i="2"/>
  <c r="J162" i="2"/>
  <c r="AB161" i="2"/>
  <c r="AA161" i="2"/>
  <c r="Z161" i="2"/>
  <c r="S161" i="2"/>
  <c r="AC161" i="2" s="1"/>
  <c r="AD161" i="2" s="1"/>
  <c r="O161" i="2"/>
  <c r="H161" i="2" s="1"/>
  <c r="Y161" i="2" s="1"/>
  <c r="K161" i="2"/>
  <c r="AC160" i="2"/>
  <c r="AD160" i="2" s="1"/>
  <c r="AB160" i="2"/>
  <c r="AA160" i="2"/>
  <c r="Z160" i="2"/>
  <c r="S160" i="2"/>
  <c r="O160" i="2"/>
  <c r="K160" i="2"/>
  <c r="H160" i="2"/>
  <c r="Y160" i="2" s="1"/>
  <c r="AB159" i="2"/>
  <c r="AA159" i="2"/>
  <c r="Z159" i="2"/>
  <c r="S159" i="2"/>
  <c r="AC159" i="2" s="1"/>
  <c r="AD159" i="2" s="1"/>
  <c r="O159" i="2"/>
  <c r="H159" i="2" s="1"/>
  <c r="Y159" i="2" s="1"/>
  <c r="K159" i="2"/>
  <c r="AC158" i="2"/>
  <c r="AD158" i="2" s="1"/>
  <c r="AB158" i="2"/>
  <c r="AA158" i="2"/>
  <c r="Z158" i="2"/>
  <c r="S158" i="2"/>
  <c r="O158" i="2"/>
  <c r="K158" i="2"/>
  <c r="H158" i="2"/>
  <c r="Y158" i="2" s="1"/>
  <c r="AD157" i="2"/>
  <c r="AC157" i="2"/>
  <c r="AB157" i="2"/>
  <c r="AA157" i="2"/>
  <c r="Z157" i="2"/>
  <c r="S157" i="2"/>
  <c r="O157" i="2"/>
  <c r="H157" i="2" s="1"/>
  <c r="Y157" i="2" s="1"/>
  <c r="K157" i="2"/>
  <c r="AC156" i="2"/>
  <c r="AD156" i="2" s="1"/>
  <c r="AB156" i="2"/>
  <c r="AA156" i="2"/>
  <c r="Z156" i="2"/>
  <c r="S156" i="2"/>
  <c r="Q156" i="2"/>
  <c r="O156" i="2" s="1"/>
  <c r="K156" i="2"/>
  <c r="H156" i="2"/>
  <c r="Y156" i="2" s="1"/>
  <c r="AB155" i="2"/>
  <c r="AA155" i="2"/>
  <c r="Z155" i="2"/>
  <c r="S155" i="2"/>
  <c r="AC155" i="2" s="1"/>
  <c r="AD155" i="2" s="1"/>
  <c r="Q155" i="2"/>
  <c r="O155" i="2" s="1"/>
  <c r="K155" i="2"/>
  <c r="H155" i="2"/>
  <c r="Y155" i="2" s="1"/>
  <c r="AD154" i="2"/>
  <c r="AC154" i="2"/>
  <c r="AB154" i="2"/>
  <c r="AA154" i="2"/>
  <c r="Z154" i="2"/>
  <c r="S154" i="2"/>
  <c r="O154" i="2"/>
  <c r="H154" i="2" s="1"/>
  <c r="Y154" i="2" s="1"/>
  <c r="K154" i="2"/>
  <c r="AC153" i="2"/>
  <c r="AD153" i="2" s="1"/>
  <c r="AB153" i="2"/>
  <c r="AA153" i="2"/>
  <c r="Z153" i="2"/>
  <c r="S153" i="2"/>
  <c r="O153" i="2"/>
  <c r="K153" i="2"/>
  <c r="H153" i="2"/>
  <c r="Y153" i="2" s="1"/>
  <c r="AD152" i="2"/>
  <c r="AC152" i="2"/>
  <c r="AB152" i="2"/>
  <c r="AA152" i="2"/>
  <c r="Z152" i="2"/>
  <c r="S152" i="2"/>
  <c r="O152" i="2"/>
  <c r="H152" i="2" s="1"/>
  <c r="Y152" i="2" s="1"/>
  <c r="K152" i="2"/>
  <c r="AB151" i="2"/>
  <c r="AA151" i="2"/>
  <c r="Z151" i="2"/>
  <c r="S151" i="2"/>
  <c r="AC151" i="2" s="1"/>
  <c r="AD151" i="2" s="1"/>
  <c r="O151" i="2"/>
  <c r="K151" i="2"/>
  <c r="AB150" i="2"/>
  <c r="AA150" i="2"/>
  <c r="Z150" i="2"/>
  <c r="S150" i="2"/>
  <c r="AC150" i="2" s="1"/>
  <c r="AD150" i="2" s="1"/>
  <c r="O150" i="2"/>
  <c r="H150" i="2" s="1"/>
  <c r="Y150" i="2" s="1"/>
  <c r="K150" i="2"/>
  <c r="AB149" i="2"/>
  <c r="AA149" i="2"/>
  <c r="Z149" i="2"/>
  <c r="S149" i="2"/>
  <c r="AC149" i="2" s="1"/>
  <c r="AD149" i="2" s="1"/>
  <c r="O149" i="2"/>
  <c r="K149" i="2"/>
  <c r="AB148" i="2"/>
  <c r="AA148" i="2"/>
  <c r="Z148" i="2"/>
  <c r="S148" i="2"/>
  <c r="AC148" i="2" s="1"/>
  <c r="AD148" i="2" s="1"/>
  <c r="O148" i="2"/>
  <c r="H148" i="2" s="1"/>
  <c r="Y148" i="2" s="1"/>
  <c r="K148" i="2"/>
  <c r="AB147" i="2"/>
  <c r="AA147" i="2"/>
  <c r="O147" i="2"/>
  <c r="J147" i="2"/>
  <c r="AB146" i="2"/>
  <c r="AA146" i="2"/>
  <c r="Z146" i="2"/>
  <c r="S146" i="2"/>
  <c r="AC146" i="2" s="1"/>
  <c r="AD146" i="2" s="1"/>
  <c r="O146" i="2"/>
  <c r="K146" i="2"/>
  <c r="AD145" i="2"/>
  <c r="AC145" i="2"/>
  <c r="AB145" i="2"/>
  <c r="AA145" i="2"/>
  <c r="Z145" i="2"/>
  <c r="S145" i="2"/>
  <c r="O145" i="2"/>
  <c r="K145" i="2"/>
  <c r="H145" i="2"/>
  <c r="Y145" i="2" s="1"/>
  <c r="AE144" i="2"/>
  <c r="AB144" i="2"/>
  <c r="AA144" i="2"/>
  <c r="Z144" i="2"/>
  <c r="S144" i="2"/>
  <c r="O144" i="2"/>
  <c r="K144" i="2"/>
  <c r="AB143" i="2"/>
  <c r="AA143" i="2"/>
  <c r="Z143" i="2"/>
  <c r="S143" i="2"/>
  <c r="AC143" i="2" s="1"/>
  <c r="AD143" i="2" s="1"/>
  <c r="Q143" i="2"/>
  <c r="O143" i="2" s="1"/>
  <c r="H143" i="2" s="1"/>
  <c r="Y143" i="2" s="1"/>
  <c r="K143" i="2"/>
  <c r="AD142" i="2"/>
  <c r="AC142" i="2"/>
  <c r="AB142" i="2"/>
  <c r="AA142" i="2"/>
  <c r="Z142" i="2"/>
  <c r="S142" i="2"/>
  <c r="O142" i="2"/>
  <c r="K142" i="2"/>
  <c r="H142" i="2"/>
  <c r="Y142" i="2" s="1"/>
  <c r="AB141" i="2"/>
  <c r="AA141" i="2"/>
  <c r="Z141" i="2"/>
  <c r="S141" i="2"/>
  <c r="AC141" i="2" s="1"/>
  <c r="AD141" i="2" s="1"/>
  <c r="O141" i="2"/>
  <c r="K141" i="2"/>
  <c r="AD140" i="2"/>
  <c r="AC140" i="2"/>
  <c r="AB140" i="2"/>
  <c r="AA140" i="2"/>
  <c r="Z140" i="2"/>
  <c r="S140" i="2"/>
  <c r="O140" i="2"/>
  <c r="K140" i="2"/>
  <c r="H140" i="2"/>
  <c r="Y140" i="2" s="1"/>
  <c r="AB139" i="2"/>
  <c r="AA139" i="2"/>
  <c r="Z139" i="2"/>
  <c r="S139" i="2"/>
  <c r="AC139" i="2" s="1"/>
  <c r="AD139" i="2" s="1"/>
  <c r="O139" i="2"/>
  <c r="L139" i="2"/>
  <c r="K139" i="2"/>
  <c r="H139" i="2"/>
  <c r="Y139" i="2" s="1"/>
  <c r="AD138" i="2"/>
  <c r="AC138" i="2"/>
  <c r="AB138" i="2"/>
  <c r="AA138" i="2"/>
  <c r="Z138" i="2"/>
  <c r="S138" i="2"/>
  <c r="O138" i="2"/>
  <c r="H138" i="2" s="1"/>
  <c r="Y138" i="2" s="1"/>
  <c r="K138" i="2"/>
  <c r="AB137" i="2"/>
  <c r="AA137" i="2"/>
  <c r="Z137" i="2"/>
  <c r="S137" i="2"/>
  <c r="AC137" i="2" s="1"/>
  <c r="AD137" i="2" s="1"/>
  <c r="O137" i="2"/>
  <c r="K137" i="2"/>
  <c r="AB136" i="2"/>
  <c r="Z136" i="2"/>
  <c r="O136" i="2"/>
  <c r="L136" i="2"/>
  <c r="K136" i="2"/>
  <c r="AC135" i="2"/>
  <c r="AD135" i="2" s="1"/>
  <c r="AB135" i="2"/>
  <c r="AA135" i="2"/>
  <c r="Z135" i="2"/>
  <c r="S135" i="2"/>
  <c r="O135" i="2"/>
  <c r="K135" i="2"/>
  <c r="H135" i="2"/>
  <c r="Y135" i="2" s="1"/>
  <c r="AB134" i="2"/>
  <c r="AA134" i="2"/>
  <c r="Z134" i="2"/>
  <c r="S134" i="2"/>
  <c r="AC134" i="2" s="1"/>
  <c r="AD134" i="2" s="1"/>
  <c r="O134" i="2"/>
  <c r="H134" i="2" s="1"/>
  <c r="Y134" i="2" s="1"/>
  <c r="L134" i="2"/>
  <c r="K134" i="2"/>
  <c r="AD133" i="2"/>
  <c r="AC133" i="2"/>
  <c r="AB133" i="2"/>
  <c r="AA133" i="2"/>
  <c r="Z133" i="2"/>
  <c r="S133" i="2"/>
  <c r="O133" i="2"/>
  <c r="K133" i="2"/>
  <c r="H133" i="2"/>
  <c r="Y133" i="2" s="1"/>
  <c r="AB132" i="2"/>
  <c r="AA132" i="2"/>
  <c r="S132" i="2"/>
  <c r="AC132" i="2" s="1"/>
  <c r="AD132" i="2" s="1"/>
  <c r="O132" i="2"/>
  <c r="J132" i="2"/>
  <c r="H132" i="2"/>
  <c r="Y132" i="2" s="1"/>
  <c r="AB131" i="2"/>
  <c r="Z131" i="2"/>
  <c r="O131" i="2"/>
  <c r="M131" i="2"/>
  <c r="L131" i="2"/>
  <c r="S131" i="2" s="1"/>
  <c r="K131" i="2"/>
  <c r="AB130" i="2"/>
  <c r="Z130" i="2"/>
  <c r="O130" i="2"/>
  <c r="L130" i="2"/>
  <c r="K130" i="2"/>
  <c r="AB129" i="2"/>
  <c r="Z129" i="2"/>
  <c r="Q129" i="2"/>
  <c r="O129" i="2"/>
  <c r="L129" i="2"/>
  <c r="K129" i="2"/>
  <c r="AE128" i="2"/>
  <c r="AD128" i="2"/>
  <c r="AC128" i="2"/>
  <c r="AB128" i="2"/>
  <c r="AA128" i="2"/>
  <c r="Z128" i="2"/>
  <c r="S128" i="2"/>
  <c r="R128" i="2"/>
  <c r="Q128" i="2"/>
  <c r="P128" i="2"/>
  <c r="O128" i="2" s="1"/>
  <c r="K128" i="2"/>
  <c r="H128" i="2"/>
  <c r="Y128" i="2" s="1"/>
  <c r="AB127" i="2"/>
  <c r="AA127" i="2"/>
  <c r="S127" i="2"/>
  <c r="AC127" i="2" s="1"/>
  <c r="AD127" i="2" s="1"/>
  <c r="N127" i="2"/>
  <c r="AE127" i="2" s="1"/>
  <c r="M127" i="2"/>
  <c r="L127" i="2"/>
  <c r="K127" i="2"/>
  <c r="J127" i="2"/>
  <c r="Z127" i="2" s="1"/>
  <c r="AE126" i="2"/>
  <c r="AB126" i="2"/>
  <c r="AA126" i="2"/>
  <c r="Z126" i="2"/>
  <c r="Q126" i="2"/>
  <c r="P126" i="2"/>
  <c r="O126" i="2" s="1"/>
  <c r="H126" i="2" s="1"/>
  <c r="Y126" i="2" s="1"/>
  <c r="J126" i="2"/>
  <c r="S126" i="2" s="1"/>
  <c r="AC126" i="2" s="1"/>
  <c r="AD126" i="2" s="1"/>
  <c r="AB125" i="2"/>
  <c r="AA125" i="2"/>
  <c r="Z125" i="2"/>
  <c r="S125" i="2"/>
  <c r="AC125" i="2" s="1"/>
  <c r="AD125" i="2" s="1"/>
  <c r="O125" i="2"/>
  <c r="H125" i="2" s="1"/>
  <c r="Y125" i="2" s="1"/>
  <c r="K125" i="2"/>
  <c r="AC124" i="2"/>
  <c r="AD124" i="2" s="1"/>
  <c r="AB124" i="2"/>
  <c r="Z124" i="2"/>
  <c r="Y124" i="2"/>
  <c r="S124" i="2"/>
  <c r="O124" i="2"/>
  <c r="L124" i="2"/>
  <c r="AA124" i="2" s="1"/>
  <c r="K124" i="2"/>
  <c r="H124" i="2"/>
  <c r="AB123" i="2"/>
  <c r="AA123" i="2"/>
  <c r="Z123" i="2"/>
  <c r="S123" i="2"/>
  <c r="AC123" i="2" s="1"/>
  <c r="AD123" i="2" s="1"/>
  <c r="O123" i="2"/>
  <c r="L123" i="2"/>
  <c r="K123" i="2"/>
  <c r="H123" i="2"/>
  <c r="Y123" i="2" s="1"/>
  <c r="AB122" i="2"/>
  <c r="AA122" i="2"/>
  <c r="Z122" i="2"/>
  <c r="S122" i="2"/>
  <c r="AC122" i="2" s="1"/>
  <c r="AD122" i="2" s="1"/>
  <c r="O122" i="2"/>
  <c r="H122" i="2" s="1"/>
  <c r="Y122" i="2" s="1"/>
  <c r="K122" i="2"/>
  <c r="AE121" i="2"/>
  <c r="AB121" i="2"/>
  <c r="AA121" i="2"/>
  <c r="Z121" i="2"/>
  <c r="P121" i="2"/>
  <c r="O121" i="2"/>
  <c r="K121" i="2"/>
  <c r="J121" i="2"/>
  <c r="S121" i="2" s="1"/>
  <c r="AC121" i="2" s="1"/>
  <c r="AD121" i="2" s="1"/>
  <c r="AE120" i="2"/>
  <c r="P120" i="2" s="1"/>
  <c r="AB120" i="2"/>
  <c r="AA120" i="2"/>
  <c r="Z120" i="2"/>
  <c r="S120" i="2"/>
  <c r="AC120" i="2" s="1"/>
  <c r="AD120" i="2" s="1"/>
  <c r="Q120" i="2"/>
  <c r="K120" i="2"/>
  <c r="AB119" i="2"/>
  <c r="AA119" i="2"/>
  <c r="Z119" i="2"/>
  <c r="S119" i="2"/>
  <c r="AC119" i="2" s="1"/>
  <c r="AD119" i="2" s="1"/>
  <c r="O119" i="2"/>
  <c r="H119" i="2" s="1"/>
  <c r="Y119" i="2" s="1"/>
  <c r="K119" i="2"/>
  <c r="AC118" i="2"/>
  <c r="AD118" i="2" s="1"/>
  <c r="AB118" i="2"/>
  <c r="AA118" i="2"/>
  <c r="Z118" i="2"/>
  <c r="S118" i="2"/>
  <c r="O118" i="2"/>
  <c r="K118" i="2"/>
  <c r="H118" i="2"/>
  <c r="Y118" i="2" s="1"/>
  <c r="AB117" i="2"/>
  <c r="AA117" i="2"/>
  <c r="Z117" i="2"/>
  <c r="S117" i="2"/>
  <c r="AC117" i="2" s="1"/>
  <c r="AD117" i="2" s="1"/>
  <c r="R117" i="2"/>
  <c r="O117" i="2" s="1"/>
  <c r="H117" i="2" s="1"/>
  <c r="Y117" i="2" s="1"/>
  <c r="K117" i="2"/>
  <c r="AD116" i="2"/>
  <c r="AB116" i="2"/>
  <c r="Z116" i="2"/>
  <c r="R116" i="2"/>
  <c r="O116" i="2"/>
  <c r="H116" i="2" s="1"/>
  <c r="Y116" i="2" s="1"/>
  <c r="L116" i="2"/>
  <c r="S116" i="2" s="1"/>
  <c r="AC116" i="2" s="1"/>
  <c r="K116" i="2"/>
  <c r="AD115" i="2"/>
  <c r="AC115" i="2"/>
  <c r="AB115" i="2"/>
  <c r="AA115" i="2"/>
  <c r="Z115" i="2"/>
  <c r="S115" i="2"/>
  <c r="O115" i="2"/>
  <c r="K115" i="2"/>
  <c r="H115" i="2"/>
  <c r="Y115" i="2" s="1"/>
  <c r="AB114" i="2"/>
  <c r="AA114" i="2"/>
  <c r="S114" i="2"/>
  <c r="O114" i="2"/>
  <c r="L114" i="2"/>
  <c r="J114" i="2"/>
  <c r="AB113" i="2"/>
  <c r="AA113" i="2"/>
  <c r="Z113" i="2"/>
  <c r="S113" i="2"/>
  <c r="AC113" i="2" s="1"/>
  <c r="AD113" i="2" s="1"/>
  <c r="O113" i="2"/>
  <c r="H113" i="2" s="1"/>
  <c r="Y113" i="2" s="1"/>
  <c r="K113" i="2"/>
  <c r="AB112" i="2"/>
  <c r="Z112" i="2"/>
  <c r="O112" i="2"/>
  <c r="L112" i="2"/>
  <c r="K112" i="2"/>
  <c r="AC111" i="2"/>
  <c r="AD111" i="2" s="1"/>
  <c r="AB111" i="2"/>
  <c r="AA111" i="2"/>
  <c r="Z111" i="2"/>
  <c r="S111" i="2"/>
  <c r="O111" i="2"/>
  <c r="K111" i="2"/>
  <c r="H111" i="2"/>
  <c r="Y111" i="2" s="1"/>
  <c r="AB110" i="2"/>
  <c r="AA110" i="2"/>
  <c r="Z110" i="2"/>
  <c r="S110" i="2"/>
  <c r="AC110" i="2" s="1"/>
  <c r="AD110" i="2" s="1"/>
  <c r="O110" i="2"/>
  <c r="H110" i="2" s="1"/>
  <c r="Y110" i="2" s="1"/>
  <c r="K110" i="2"/>
  <c r="AB109" i="2"/>
  <c r="AA109" i="2"/>
  <c r="O109" i="2"/>
  <c r="J109" i="2"/>
  <c r="AB108" i="2"/>
  <c r="AA108" i="2"/>
  <c r="Z108" i="2"/>
  <c r="S108" i="2"/>
  <c r="AC108" i="2" s="1"/>
  <c r="AD108" i="2" s="1"/>
  <c r="O108" i="2"/>
  <c r="N108" i="2"/>
  <c r="K108" i="2"/>
  <c r="H108" i="2"/>
  <c r="Y108" i="2" s="1"/>
  <c r="AA107" i="2"/>
  <c r="Z107" i="2"/>
  <c r="O107" i="2"/>
  <c r="N107" i="2"/>
  <c r="AB107" i="2" s="1"/>
  <c r="J107" i="2"/>
  <c r="K107" i="2" s="1"/>
  <c r="AA106" i="2"/>
  <c r="Z106" i="2"/>
  <c r="S106" i="2"/>
  <c r="AC106" i="2" s="1"/>
  <c r="AD106" i="2" s="1"/>
  <c r="O106" i="2"/>
  <c r="N106" i="2"/>
  <c r="AB106" i="2" s="1"/>
  <c r="L106" i="2"/>
  <c r="K106" i="2"/>
  <c r="H106" i="2"/>
  <c r="Y106" i="2" s="1"/>
  <c r="AB105" i="2"/>
  <c r="AA105" i="2"/>
  <c r="Z105" i="2"/>
  <c r="S105" i="2"/>
  <c r="AC105" i="2" s="1"/>
  <c r="AD105" i="2" s="1"/>
  <c r="O105" i="2"/>
  <c r="H105" i="2" s="1"/>
  <c r="Y105" i="2" s="1"/>
  <c r="K105" i="2"/>
  <c r="AB104" i="2"/>
  <c r="AA104" i="2"/>
  <c r="Z104" i="2"/>
  <c r="S104" i="2"/>
  <c r="AC104" i="2" s="1"/>
  <c r="AD104" i="2" s="1"/>
  <c r="O104" i="2"/>
  <c r="K104" i="2"/>
  <c r="AB103" i="2"/>
  <c r="AA103" i="2"/>
  <c r="R103" i="2"/>
  <c r="O103" i="2" s="1"/>
  <c r="L103" i="2"/>
  <c r="J103" i="2"/>
  <c r="AB102" i="2"/>
  <c r="AA102" i="2"/>
  <c r="O102" i="2"/>
  <c r="L102" i="2"/>
  <c r="J102" i="2"/>
  <c r="AB101" i="2"/>
  <c r="AA101" i="2"/>
  <c r="Z101" i="2"/>
  <c r="S101" i="2"/>
  <c r="AC101" i="2" s="1"/>
  <c r="AD101" i="2" s="1"/>
  <c r="O101" i="2"/>
  <c r="H101" i="2" s="1"/>
  <c r="Y101" i="2" s="1"/>
  <c r="K101" i="2"/>
  <c r="AD100" i="2"/>
  <c r="AC100" i="2"/>
  <c r="AB100" i="2"/>
  <c r="AA100" i="2"/>
  <c r="Z100" i="2"/>
  <c r="S100" i="2"/>
  <c r="O100" i="2"/>
  <c r="K100" i="2"/>
  <c r="H100" i="2"/>
  <c r="Y100" i="2" s="1"/>
  <c r="AB99" i="2"/>
  <c r="AA99" i="2"/>
  <c r="Z99" i="2"/>
  <c r="S99" i="2"/>
  <c r="AC99" i="2" s="1"/>
  <c r="AD99" i="2" s="1"/>
  <c r="O99" i="2"/>
  <c r="H99" i="2" s="1"/>
  <c r="Y99" i="2" s="1"/>
  <c r="K99" i="2"/>
  <c r="AB98" i="2"/>
  <c r="Z98" i="2"/>
  <c r="O98" i="2"/>
  <c r="L98" i="2"/>
  <c r="K98" i="2"/>
  <c r="AB97" i="2"/>
  <c r="AA97" i="2"/>
  <c r="Z97" i="2"/>
  <c r="S97" i="2"/>
  <c r="AC97" i="2" s="1"/>
  <c r="AD97" i="2" s="1"/>
  <c r="O97" i="2"/>
  <c r="K97" i="2"/>
  <c r="J97" i="2"/>
  <c r="H97" i="2"/>
  <c r="Y97" i="2" s="1"/>
  <c r="AB96" i="2"/>
  <c r="AA96" i="2"/>
  <c r="Z96" i="2"/>
  <c r="S96" i="2"/>
  <c r="AC96" i="2" s="1"/>
  <c r="AD96" i="2" s="1"/>
  <c r="O96" i="2"/>
  <c r="L96" i="2"/>
  <c r="K96" i="2"/>
  <c r="H96" i="2"/>
  <c r="Y96" i="2" s="1"/>
  <c r="AB95" i="2"/>
  <c r="AA95" i="2"/>
  <c r="Z95" i="2"/>
  <c r="S95" i="2"/>
  <c r="AC95" i="2" s="1"/>
  <c r="AD95" i="2" s="1"/>
  <c r="O95" i="2"/>
  <c r="H95" i="2" s="1"/>
  <c r="Y95" i="2" s="1"/>
  <c r="K95" i="2"/>
  <c r="AB94" i="2"/>
  <c r="AA94" i="2"/>
  <c r="Z94" i="2"/>
  <c r="S94" i="2"/>
  <c r="AC94" i="2" s="1"/>
  <c r="AD94" i="2" s="1"/>
  <c r="O94" i="2"/>
  <c r="K94" i="2"/>
  <c r="AE93" i="2"/>
  <c r="AB93" i="2"/>
  <c r="AA93" i="2"/>
  <c r="Z93" i="2"/>
  <c r="S93" i="2"/>
  <c r="AC93" i="2" s="1"/>
  <c r="AD93" i="2" s="1"/>
  <c r="Q93" i="2"/>
  <c r="O93" i="2" s="1"/>
  <c r="M93" i="2"/>
  <c r="L93" i="2"/>
  <c r="K93" i="2"/>
  <c r="AE92" i="2"/>
  <c r="AD92" i="2"/>
  <c r="AC92" i="2"/>
  <c r="AB92" i="2"/>
  <c r="AA92" i="2"/>
  <c r="Z92" i="2"/>
  <c r="S92" i="2"/>
  <c r="Q92" i="2"/>
  <c r="P92" i="2"/>
  <c r="O92" i="2" s="1"/>
  <c r="H92" i="2" s="1"/>
  <c r="Y92" i="2" s="1"/>
  <c r="K92" i="2"/>
  <c r="AE91" i="2"/>
  <c r="P91" i="2" s="1"/>
  <c r="O91" i="2" s="1"/>
  <c r="H91" i="2" s="1"/>
  <c r="Y91" i="2" s="1"/>
  <c r="AB91" i="2"/>
  <c r="AA91" i="2"/>
  <c r="Z91" i="2"/>
  <c r="S91" i="2"/>
  <c r="AC91" i="2" s="1"/>
  <c r="AD91" i="2" s="1"/>
  <c r="Q91" i="2"/>
  <c r="K91" i="2"/>
  <c r="AB90" i="2"/>
  <c r="AA90" i="2"/>
  <c r="Z90" i="2"/>
  <c r="S90" i="2"/>
  <c r="O90" i="2"/>
  <c r="M90" i="2"/>
  <c r="L90" i="2"/>
  <c r="K90" i="2"/>
  <c r="AB89" i="2"/>
  <c r="AA89" i="2"/>
  <c r="Z89" i="2"/>
  <c r="S89" i="2"/>
  <c r="AC89" i="2" s="1"/>
  <c r="AD89" i="2" s="1"/>
  <c r="O89" i="2"/>
  <c r="K89" i="2"/>
  <c r="J89" i="2"/>
  <c r="H89" i="2"/>
  <c r="Y89" i="2" s="1"/>
  <c r="AC88" i="2"/>
  <c r="AD88" i="2" s="1"/>
  <c r="AB88" i="2"/>
  <c r="AA88" i="2"/>
  <c r="Z88" i="2"/>
  <c r="S88" i="2"/>
  <c r="Q88" i="2"/>
  <c r="O88" i="2" s="1"/>
  <c r="H88" i="2" s="1"/>
  <c r="Y88" i="2" s="1"/>
  <c r="K88" i="2"/>
  <c r="AC87" i="2"/>
  <c r="AD87" i="2" s="1"/>
  <c r="AB87" i="2"/>
  <c r="AA87" i="2"/>
  <c r="Z87" i="2"/>
  <c r="S87" i="2"/>
  <c r="O87" i="2"/>
  <c r="K87" i="2"/>
  <c r="H87" i="2"/>
  <c r="Y87" i="2" s="1"/>
  <c r="AB86" i="2"/>
  <c r="AA86" i="2"/>
  <c r="Z86" i="2"/>
  <c r="S86" i="2"/>
  <c r="AC86" i="2" s="1"/>
  <c r="AD86" i="2" s="1"/>
  <c r="O86" i="2"/>
  <c r="H86" i="2" s="1"/>
  <c r="Y86" i="2" s="1"/>
  <c r="K86" i="2"/>
  <c r="AB85" i="2"/>
  <c r="AA85" i="2"/>
  <c r="Z85" i="2"/>
  <c r="S85" i="2"/>
  <c r="AC85" i="2" s="1"/>
  <c r="AD85" i="2" s="1"/>
  <c r="Q85" i="2"/>
  <c r="O85" i="2"/>
  <c r="K85" i="2"/>
  <c r="H85" i="2"/>
  <c r="Y85" i="2" s="1"/>
  <c r="AE84" i="2"/>
  <c r="AB84" i="2"/>
  <c r="AA84" i="2"/>
  <c r="Z84" i="2"/>
  <c r="S84" i="2"/>
  <c r="O84" i="2"/>
  <c r="K84" i="2"/>
  <c r="AB83" i="2"/>
  <c r="AA83" i="2"/>
  <c r="Z83" i="2"/>
  <c r="S83" i="2"/>
  <c r="AC83" i="2" s="1"/>
  <c r="AD83" i="2" s="1"/>
  <c r="O83" i="2"/>
  <c r="K83" i="2"/>
  <c r="AC82" i="2"/>
  <c r="AD82" i="2" s="1"/>
  <c r="AB82" i="2"/>
  <c r="AA82" i="2"/>
  <c r="Z82" i="2"/>
  <c r="S82" i="2"/>
  <c r="O82" i="2"/>
  <c r="K82" i="2"/>
  <c r="H82" i="2"/>
  <c r="Y82" i="2" s="1"/>
  <c r="AB81" i="2"/>
  <c r="AA81" i="2"/>
  <c r="Z81" i="2"/>
  <c r="S81" i="2"/>
  <c r="AC81" i="2" s="1"/>
  <c r="AD81" i="2" s="1"/>
  <c r="O81" i="2"/>
  <c r="H81" i="2" s="1"/>
  <c r="Y81" i="2" s="1"/>
  <c r="K81" i="2"/>
  <c r="AB80" i="2"/>
  <c r="AA80" i="2"/>
  <c r="Z80" i="2"/>
  <c r="S80" i="2"/>
  <c r="AC80" i="2" s="1"/>
  <c r="AD80" i="2" s="1"/>
  <c r="O80" i="2"/>
  <c r="K80" i="2"/>
  <c r="AE79" i="2"/>
  <c r="AB79" i="2"/>
  <c r="AA79" i="2"/>
  <c r="Z79" i="2"/>
  <c r="S79" i="2"/>
  <c r="AC79" i="2" s="1"/>
  <c r="AD79" i="2" s="1"/>
  <c r="O79" i="2"/>
  <c r="H79" i="2" s="1"/>
  <c r="Y79" i="2" s="1"/>
  <c r="K79" i="2"/>
  <c r="AD78" i="2"/>
  <c r="AC78" i="2"/>
  <c r="AB78" i="2"/>
  <c r="AA78" i="2"/>
  <c r="Z78" i="2"/>
  <c r="S78" i="2"/>
  <c r="O78" i="2"/>
  <c r="K78" i="2"/>
  <c r="H78" i="2"/>
  <c r="Y78" i="2" s="1"/>
  <c r="AC77" i="2"/>
  <c r="AD77" i="2" s="1"/>
  <c r="AB77" i="2"/>
  <c r="AA77" i="2"/>
  <c r="Z77" i="2"/>
  <c r="S77" i="2"/>
  <c r="O77" i="2"/>
  <c r="H77" i="2" s="1"/>
  <c r="Y77" i="2" s="1"/>
  <c r="K77" i="2"/>
  <c r="AC76" i="2"/>
  <c r="AD76" i="2" s="1"/>
  <c r="AB76" i="2"/>
  <c r="AA76" i="2"/>
  <c r="Z76" i="2"/>
  <c r="Q76" i="2"/>
  <c r="O76" i="2"/>
  <c r="H76" i="2" s="1"/>
  <c r="Y76" i="2" s="1"/>
  <c r="L76" i="2"/>
  <c r="S76" i="2" s="1"/>
  <c r="K76" i="2"/>
  <c r="AB75" i="2"/>
  <c r="AA75" i="2"/>
  <c r="Z75" i="2"/>
  <c r="Q75" i="2"/>
  <c r="O75" i="2" s="1"/>
  <c r="H75" i="2" s="1"/>
  <c r="Y75" i="2" s="1"/>
  <c r="M75" i="2"/>
  <c r="L75" i="2"/>
  <c r="S75" i="2" s="1"/>
  <c r="AC75" i="2" s="1"/>
  <c r="AD75" i="2" s="1"/>
  <c r="K75" i="2"/>
  <c r="AE74" i="2"/>
  <c r="P74" i="2" s="1"/>
  <c r="AB74" i="2"/>
  <c r="AA74" i="2"/>
  <c r="Z74" i="2"/>
  <c r="S74" i="2"/>
  <c r="AC74" i="2" s="1"/>
  <c r="AD74" i="2" s="1"/>
  <c r="M74" i="2"/>
  <c r="K74" i="2"/>
  <c r="AE73" i="2"/>
  <c r="AD73" i="2"/>
  <c r="AC73" i="2"/>
  <c r="AB73" i="2"/>
  <c r="AA73" i="2"/>
  <c r="Z73" i="2"/>
  <c r="S73" i="2"/>
  <c r="Q73" i="2"/>
  <c r="P73" i="2"/>
  <c r="O73" i="2" s="1"/>
  <c r="H73" i="2" s="1"/>
  <c r="Y73" i="2" s="1"/>
  <c r="K73" i="2"/>
  <c r="AE72" i="2"/>
  <c r="P72" i="2" s="1"/>
  <c r="AB72" i="2"/>
  <c r="AA72" i="2"/>
  <c r="Z72" i="2"/>
  <c r="S72" i="2"/>
  <c r="AC72" i="2" s="1"/>
  <c r="AD72" i="2" s="1"/>
  <c r="Q72" i="2"/>
  <c r="K72" i="2"/>
  <c r="AB71" i="2"/>
  <c r="AA71" i="2"/>
  <c r="Z71" i="2"/>
  <c r="S71" i="2"/>
  <c r="AC71" i="2" s="1"/>
  <c r="AD71" i="2" s="1"/>
  <c r="O71" i="2"/>
  <c r="K71" i="2"/>
  <c r="AC70" i="2"/>
  <c r="AD70" i="2" s="1"/>
  <c r="AB70" i="2"/>
  <c r="AA70" i="2"/>
  <c r="Z70" i="2"/>
  <c r="S70" i="2"/>
  <c r="O70" i="2"/>
  <c r="K70" i="2"/>
  <c r="H70" i="2"/>
  <c r="Y70" i="2" s="1"/>
  <c r="AB69" i="2"/>
  <c r="AA69" i="2"/>
  <c r="Z69" i="2"/>
  <c r="S69" i="2"/>
  <c r="AC69" i="2" s="1"/>
  <c r="AD69" i="2" s="1"/>
  <c r="O69" i="2"/>
  <c r="H69" i="2" s="1"/>
  <c r="Y69" i="2" s="1"/>
  <c r="K69" i="2"/>
  <c r="AB68" i="2"/>
  <c r="AA68" i="2"/>
  <c r="Z68" i="2"/>
  <c r="S68" i="2"/>
  <c r="AC68" i="2" s="1"/>
  <c r="AD68" i="2" s="1"/>
  <c r="O68" i="2"/>
  <c r="K68" i="2"/>
  <c r="AB67" i="2"/>
  <c r="AA67" i="2"/>
  <c r="Z67" i="2"/>
  <c r="S67" i="2"/>
  <c r="AC67" i="2" s="1"/>
  <c r="AD67" i="2" s="1"/>
  <c r="O67" i="2"/>
  <c r="K67" i="2"/>
  <c r="J67" i="2"/>
  <c r="H67" i="2"/>
  <c r="Y67" i="2" s="1"/>
  <c r="AC66" i="2"/>
  <c r="AD66" i="2" s="1"/>
  <c r="AB66" i="2"/>
  <c r="AA66" i="2"/>
  <c r="Z66" i="2"/>
  <c r="S66" i="2"/>
  <c r="O66" i="2"/>
  <c r="K66" i="2"/>
  <c r="H66" i="2"/>
  <c r="Y66" i="2" s="1"/>
  <c r="AB65" i="2"/>
  <c r="AA65" i="2"/>
  <c r="Z65" i="2"/>
  <c r="S65" i="2"/>
  <c r="AC65" i="2" s="1"/>
  <c r="AD65" i="2" s="1"/>
  <c r="R65" i="2"/>
  <c r="O65" i="2" s="1"/>
  <c r="K65" i="2"/>
  <c r="AE64" i="2"/>
  <c r="AB64" i="2"/>
  <c r="AA64" i="2"/>
  <c r="Z64" i="2"/>
  <c r="S64" i="2"/>
  <c r="AC64" i="2" s="1"/>
  <c r="AD64" i="2" s="1"/>
  <c r="O64" i="2"/>
  <c r="K64" i="2"/>
  <c r="AE63" i="2"/>
  <c r="AB63" i="2"/>
  <c r="AA63" i="2"/>
  <c r="Z63" i="2"/>
  <c r="S63" i="2"/>
  <c r="AC63" i="2" s="1"/>
  <c r="AD63" i="2" s="1"/>
  <c r="R63" i="2"/>
  <c r="O63" i="2" s="1"/>
  <c r="H63" i="2" s="1"/>
  <c r="Y63" i="2" s="1"/>
  <c r="K63" i="2"/>
  <c r="AD62" i="2"/>
  <c r="AC62" i="2"/>
  <c r="AB62" i="2"/>
  <c r="AA62" i="2"/>
  <c r="Z62" i="2"/>
  <c r="S62" i="2"/>
  <c r="O62" i="2"/>
  <c r="H62" i="2" s="1"/>
  <c r="Y62" i="2" s="1"/>
  <c r="K62" i="2"/>
  <c r="AB61" i="2"/>
  <c r="AA61" i="2"/>
  <c r="O61" i="2"/>
  <c r="L61" i="2"/>
  <c r="J61" i="2"/>
  <c r="S61" i="2" s="1"/>
  <c r="AB60" i="2"/>
  <c r="AA60" i="2"/>
  <c r="O60" i="2"/>
  <c r="J60" i="2"/>
  <c r="AB59" i="2"/>
  <c r="AA59" i="2"/>
  <c r="Z59" i="2"/>
  <c r="O59" i="2"/>
  <c r="L59" i="2"/>
  <c r="S59" i="2" s="1"/>
  <c r="K59" i="2"/>
  <c r="AC58" i="2"/>
  <c r="AD58" i="2" s="1"/>
  <c r="AB58" i="2"/>
  <c r="AA58" i="2"/>
  <c r="Z58" i="2"/>
  <c r="S58" i="2"/>
  <c r="O58" i="2"/>
  <c r="K58" i="2"/>
  <c r="H58" i="2"/>
  <c r="Y58" i="2" s="1"/>
  <c r="AB57" i="2"/>
  <c r="AA57" i="2"/>
  <c r="Z57" i="2"/>
  <c r="S57" i="2"/>
  <c r="AC57" i="2" s="1"/>
  <c r="AD57" i="2" s="1"/>
  <c r="O57" i="2"/>
  <c r="K57" i="2"/>
  <c r="AB56" i="2"/>
  <c r="Z56" i="2"/>
  <c r="O56" i="2"/>
  <c r="M56" i="2"/>
  <c r="L56" i="2"/>
  <c r="S56" i="2" s="1"/>
  <c r="AC56" i="2" s="1"/>
  <c r="AD56" i="2" s="1"/>
  <c r="K56" i="2"/>
  <c r="H56" i="2"/>
  <c r="Y56" i="2" s="1"/>
  <c r="AB55" i="2"/>
  <c r="AA55" i="2"/>
  <c r="Z55" i="2"/>
  <c r="O55" i="2"/>
  <c r="L55" i="2"/>
  <c r="S55" i="2" s="1"/>
  <c r="AC55" i="2" s="1"/>
  <c r="AD55" i="2" s="1"/>
  <c r="K55" i="2"/>
  <c r="AB54" i="2"/>
  <c r="AA54" i="2"/>
  <c r="Z54" i="2"/>
  <c r="S54" i="2"/>
  <c r="O54" i="2"/>
  <c r="K54" i="2"/>
  <c r="AB53" i="2"/>
  <c r="AA53" i="2"/>
  <c r="S53" i="2"/>
  <c r="AC53" i="2" s="1"/>
  <c r="AD53" i="2" s="1"/>
  <c r="O53" i="2"/>
  <c r="M53" i="2"/>
  <c r="L53" i="2"/>
  <c r="K53" i="2"/>
  <c r="J53" i="2"/>
  <c r="Z53" i="2" s="1"/>
  <c r="H53" i="2"/>
  <c r="Y53" i="2" s="1"/>
  <c r="AB52" i="2"/>
  <c r="AA52" i="2"/>
  <c r="Z52" i="2"/>
  <c r="S52" i="2"/>
  <c r="AC52" i="2" s="1"/>
  <c r="AD52" i="2" s="1"/>
  <c r="Q52" i="2"/>
  <c r="O52" i="2" s="1"/>
  <c r="K52" i="2"/>
  <c r="AB51" i="2"/>
  <c r="AA51" i="2"/>
  <c r="Z51" i="2"/>
  <c r="S51" i="2"/>
  <c r="AC51" i="2" s="1"/>
  <c r="AD51" i="2" s="1"/>
  <c r="O51" i="2"/>
  <c r="K51" i="2"/>
  <c r="AC50" i="2"/>
  <c r="AD50" i="2" s="1"/>
  <c r="AB50" i="2"/>
  <c r="AA50" i="2"/>
  <c r="Z50" i="2"/>
  <c r="S50" i="2"/>
  <c r="O50" i="2"/>
  <c r="K50" i="2"/>
  <c r="H50" i="2"/>
  <c r="Y50" i="2" s="1"/>
  <c r="AB49" i="2"/>
  <c r="AA49" i="2"/>
  <c r="Z49" i="2"/>
  <c r="S49" i="2"/>
  <c r="AC49" i="2" s="1"/>
  <c r="AD49" i="2" s="1"/>
  <c r="O49" i="2"/>
  <c r="M49" i="2"/>
  <c r="L49" i="2"/>
  <c r="K49" i="2"/>
  <c r="H49" i="2"/>
  <c r="Y49" i="2" s="1"/>
  <c r="AB48" i="2"/>
  <c r="AA48" i="2"/>
  <c r="Z48" i="2"/>
  <c r="S48" i="2"/>
  <c r="AC48" i="2" s="1"/>
  <c r="AD48" i="2" s="1"/>
  <c r="O48" i="2"/>
  <c r="H48" i="2" s="1"/>
  <c r="Y48" i="2" s="1"/>
  <c r="K48" i="2"/>
  <c r="J48" i="2"/>
  <c r="AB47" i="2"/>
  <c r="AA47" i="2"/>
  <c r="O47" i="2"/>
  <c r="J47" i="2"/>
  <c r="Z47" i="2" s="1"/>
  <c r="AC46" i="2"/>
  <c r="AD46" i="2" s="1"/>
  <c r="AB46" i="2"/>
  <c r="AA46" i="2"/>
  <c r="Z46" i="2"/>
  <c r="S46" i="2"/>
  <c r="O46" i="2"/>
  <c r="K46" i="2"/>
  <c r="H46" i="2"/>
  <c r="Y46" i="2" s="1"/>
  <c r="AB45" i="2"/>
  <c r="AA45" i="2"/>
  <c r="Z45" i="2"/>
  <c r="S45" i="2"/>
  <c r="AC45" i="2" s="1"/>
  <c r="AD45" i="2" s="1"/>
  <c r="O45" i="2"/>
  <c r="H45" i="2" s="1"/>
  <c r="Y45" i="2" s="1"/>
  <c r="K45" i="2"/>
  <c r="AB44" i="2"/>
  <c r="AA44" i="2"/>
  <c r="Z44" i="2"/>
  <c r="S44" i="2"/>
  <c r="O44" i="2"/>
  <c r="K44" i="2"/>
  <c r="AB43" i="2"/>
  <c r="AA43" i="2"/>
  <c r="Z43" i="2"/>
  <c r="S43" i="2"/>
  <c r="AC43" i="2" s="1"/>
  <c r="AD43" i="2" s="1"/>
  <c r="R43" i="2"/>
  <c r="Q43" i="2"/>
  <c r="O43" i="2" s="1"/>
  <c r="H43" i="2" s="1"/>
  <c r="Y43" i="2" s="1"/>
  <c r="L43" i="2"/>
  <c r="K43" i="2"/>
  <c r="AC42" i="2"/>
  <c r="AD42" i="2" s="1"/>
  <c r="AB42" i="2"/>
  <c r="AA42" i="2"/>
  <c r="Z42" i="2"/>
  <c r="Y42" i="2"/>
  <c r="S42" i="2"/>
  <c r="O42" i="2"/>
  <c r="H42" i="2" s="1"/>
  <c r="L42" i="2"/>
  <c r="K42" i="2"/>
  <c r="AB41" i="2"/>
  <c r="AA41" i="2"/>
  <c r="Z41" i="2"/>
  <c r="S41" i="2"/>
  <c r="AC41" i="2" s="1"/>
  <c r="AD41" i="2" s="1"/>
  <c r="O41" i="2"/>
  <c r="K41" i="2"/>
  <c r="AC40" i="2"/>
  <c r="AD40" i="2" s="1"/>
  <c r="AB40" i="2"/>
  <c r="AA40" i="2"/>
  <c r="Z40" i="2"/>
  <c r="R40" i="2"/>
  <c r="O40" i="2" s="1"/>
  <c r="H40" i="2" s="1"/>
  <c r="Y40" i="2" s="1"/>
  <c r="M40" i="2"/>
  <c r="L40" i="2"/>
  <c r="S40" i="2" s="1"/>
  <c r="K40" i="2"/>
  <c r="AB39" i="2"/>
  <c r="AA39" i="2"/>
  <c r="Z39" i="2"/>
  <c r="S39" i="2"/>
  <c r="AC39" i="2" s="1"/>
  <c r="AD39" i="2" s="1"/>
  <c r="O39" i="2"/>
  <c r="K39" i="2"/>
  <c r="AD38" i="2"/>
  <c r="AB38" i="2"/>
  <c r="Z38" i="2"/>
  <c r="S38" i="2"/>
  <c r="AC38" i="2" s="1"/>
  <c r="P38" i="2"/>
  <c r="O38" i="2"/>
  <c r="H38" i="2" s="1"/>
  <c r="Y38" i="2" s="1"/>
  <c r="L38" i="2"/>
  <c r="AA38" i="2" s="1"/>
  <c r="K38" i="2"/>
  <c r="AB37" i="2"/>
  <c r="AA37" i="2"/>
  <c r="Z37" i="2"/>
  <c r="S37" i="2"/>
  <c r="AC37" i="2" s="1"/>
  <c r="AD37" i="2" s="1"/>
  <c r="O37" i="2"/>
  <c r="H37" i="2" s="1"/>
  <c r="Y37" i="2" s="1"/>
  <c r="K37" i="2"/>
  <c r="AB36" i="2"/>
  <c r="AA36" i="2"/>
  <c r="Z36" i="2"/>
  <c r="S36" i="2"/>
  <c r="AC36" i="2" s="1"/>
  <c r="AD36" i="2" s="1"/>
  <c r="O36" i="2"/>
  <c r="H36" i="2" s="1"/>
  <c r="Y36" i="2" s="1"/>
  <c r="K36" i="2"/>
  <c r="AB35" i="2"/>
  <c r="Z35" i="2"/>
  <c r="S35" i="2"/>
  <c r="O35" i="2"/>
  <c r="M35" i="2"/>
  <c r="L35" i="2"/>
  <c r="AA35" i="2" s="1"/>
  <c r="K35" i="2"/>
  <c r="AB34" i="2"/>
  <c r="Z34" i="2"/>
  <c r="S34" i="2"/>
  <c r="AC34" i="2" s="1"/>
  <c r="AD34" i="2" s="1"/>
  <c r="R34" i="2"/>
  <c r="O34" i="2"/>
  <c r="H34" i="2" s="1"/>
  <c r="Y34" i="2" s="1"/>
  <c r="L34" i="2"/>
  <c r="AA34" i="2" s="1"/>
  <c r="K34" i="2"/>
  <c r="AB33" i="2"/>
  <c r="Z33" i="2"/>
  <c r="O33" i="2"/>
  <c r="L33" i="2"/>
  <c r="AA33" i="2" s="1"/>
  <c r="K33" i="2"/>
  <c r="AB32" i="2"/>
  <c r="AA32" i="2"/>
  <c r="Z32" i="2"/>
  <c r="O32" i="2"/>
  <c r="H32" i="2" s="1"/>
  <c r="Y32" i="2" s="1"/>
  <c r="L32" i="2"/>
  <c r="S32" i="2" s="1"/>
  <c r="AC32" i="2" s="1"/>
  <c r="AD32" i="2" s="1"/>
  <c r="K32" i="2"/>
  <c r="Z31" i="2"/>
  <c r="O31" i="2"/>
  <c r="N31" i="2"/>
  <c r="AB31" i="2" s="1"/>
  <c r="L31" i="2"/>
  <c r="AA31" i="2" s="1"/>
  <c r="K31" i="2"/>
  <c r="AB30" i="2"/>
  <c r="AA30" i="2"/>
  <c r="Z30" i="2"/>
  <c r="O30" i="2"/>
  <c r="K30" i="2"/>
  <c r="J30" i="2"/>
  <c r="S30" i="2" s="1"/>
  <c r="AC29" i="2"/>
  <c r="AD29" i="2" s="1"/>
  <c r="AB29" i="2"/>
  <c r="AA29" i="2"/>
  <c r="Z29" i="2"/>
  <c r="Y29" i="2"/>
  <c r="S29" i="2"/>
  <c r="O29" i="2"/>
  <c r="L29" i="2"/>
  <c r="K29" i="2"/>
  <c r="H29" i="2"/>
  <c r="AB28" i="2"/>
  <c r="AA28" i="2"/>
  <c r="Z28" i="2"/>
  <c r="S28" i="2"/>
  <c r="AC28" i="2" s="1"/>
  <c r="AD28" i="2" s="1"/>
  <c r="O28" i="2"/>
  <c r="H28" i="2" s="1"/>
  <c r="Y28" i="2" s="1"/>
  <c r="K28" i="2"/>
  <c r="AB27" i="2"/>
  <c r="Z27" i="2"/>
  <c r="S27" i="2"/>
  <c r="AC27" i="2" s="1"/>
  <c r="AD27" i="2" s="1"/>
  <c r="O27" i="2"/>
  <c r="K27" i="2"/>
  <c r="H27" i="2"/>
  <c r="Y27" i="2" s="1"/>
  <c r="AB26" i="2"/>
  <c r="AA26" i="2"/>
  <c r="Z26" i="2"/>
  <c r="Q26" i="2"/>
  <c r="L26" i="2"/>
  <c r="S26" i="2" s="1"/>
  <c r="AC26" i="2" s="1"/>
  <c r="AD26" i="2" s="1"/>
  <c r="K26" i="2"/>
  <c r="AC25" i="2"/>
  <c r="AD25" i="2" s="1"/>
  <c r="AB25" i="2"/>
  <c r="AA25" i="2"/>
  <c r="Z25" i="2"/>
  <c r="S25" i="2"/>
  <c r="O25" i="2"/>
  <c r="H25" i="2" s="1"/>
  <c r="Y25" i="2" s="1"/>
  <c r="K25" i="2"/>
  <c r="AC24" i="2"/>
  <c r="AD24" i="2" s="1"/>
  <c r="AB24" i="2"/>
  <c r="AA24" i="2"/>
  <c r="Z24" i="2"/>
  <c r="S24" i="2"/>
  <c r="O24" i="2"/>
  <c r="K24" i="2"/>
  <c r="H24" i="2"/>
  <c r="Y24" i="2" s="1"/>
  <c r="AB23" i="2"/>
  <c r="AA23" i="2"/>
  <c r="Z23" i="2"/>
  <c r="O23" i="2"/>
  <c r="H23" i="2" s="1"/>
  <c r="Y23" i="2" s="1"/>
  <c r="L23" i="2"/>
  <c r="S23" i="2" s="1"/>
  <c r="AC23" i="2" s="1"/>
  <c r="AD23" i="2" s="1"/>
  <c r="K23" i="2"/>
  <c r="AB22" i="2"/>
  <c r="AA22" i="2"/>
  <c r="Z22" i="2"/>
  <c r="S22" i="2"/>
  <c r="AC22" i="2" s="1"/>
  <c r="AD22" i="2" s="1"/>
  <c r="O22" i="2"/>
  <c r="K22" i="2"/>
  <c r="AB21" i="2"/>
  <c r="AA21" i="2"/>
  <c r="Z21" i="2"/>
  <c r="S21" i="2"/>
  <c r="AC21" i="2" s="1"/>
  <c r="AD21" i="2" s="1"/>
  <c r="O21" i="2"/>
  <c r="M21" i="2"/>
  <c r="K21" i="2"/>
  <c r="H21" i="2"/>
  <c r="Y21" i="2" s="1"/>
  <c r="AB20" i="2"/>
  <c r="AA20" i="2"/>
  <c r="O20" i="2"/>
  <c r="L20" i="2"/>
  <c r="J20" i="2"/>
  <c r="Z20" i="2" s="1"/>
  <c r="I20" i="2"/>
  <c r="K20" i="2" s="1"/>
  <c r="AB19" i="2"/>
  <c r="AA19" i="2"/>
  <c r="Z19" i="2"/>
  <c r="S19" i="2"/>
  <c r="AC19" i="2" s="1"/>
  <c r="AD19" i="2" s="1"/>
  <c r="O19" i="2"/>
  <c r="H19" i="2" s="1"/>
  <c r="Y19" i="2" s="1"/>
  <c r="K19" i="2"/>
  <c r="AB18" i="2"/>
  <c r="AA18" i="2"/>
  <c r="Z18" i="2"/>
  <c r="O18" i="2"/>
  <c r="H18" i="2" s="1"/>
  <c r="Y18" i="2" s="1"/>
  <c r="K18" i="2"/>
  <c r="J18" i="2"/>
  <c r="S18" i="2" s="1"/>
  <c r="AC18" i="2" s="1"/>
  <c r="AD18" i="2" s="1"/>
  <c r="AB17" i="2"/>
  <c r="AA17" i="2"/>
  <c r="O17" i="2"/>
  <c r="J17" i="2"/>
  <c r="S17" i="2" s="1"/>
  <c r="I17" i="2"/>
  <c r="K17" i="2" s="1"/>
  <c r="AB16" i="2"/>
  <c r="AA16" i="2"/>
  <c r="O16" i="2"/>
  <c r="H16" i="2" s="1"/>
  <c r="Y16" i="2" s="1"/>
  <c r="J16" i="2"/>
  <c r="S16" i="2" s="1"/>
  <c r="AC16" i="2" s="1"/>
  <c r="AD16" i="2" s="1"/>
  <c r="AB15" i="2"/>
  <c r="O15" i="2"/>
  <c r="L15" i="2"/>
  <c r="AA15" i="2" s="1"/>
  <c r="J15" i="2"/>
  <c r="J253" i="2" s="1"/>
  <c r="Z14" i="2"/>
  <c r="O14" i="2"/>
  <c r="N14" i="2"/>
  <c r="L14" i="2"/>
  <c r="L253" i="2" s="1"/>
  <c r="K14" i="2"/>
  <c r="AC13" i="2"/>
  <c r="AD13" i="2" s="1"/>
  <c r="AB13" i="2"/>
  <c r="AA13" i="2"/>
  <c r="Z13" i="2"/>
  <c r="S13" i="2"/>
  <c r="O13" i="2"/>
  <c r="K13" i="2"/>
  <c r="H13" i="2"/>
  <c r="Y13" i="2" s="1"/>
  <c r="AC12" i="2"/>
  <c r="AD12" i="2" s="1"/>
  <c r="AB12" i="2"/>
  <c r="AA12" i="2"/>
  <c r="Z12" i="2"/>
  <c r="S12" i="2"/>
  <c r="O12" i="2"/>
  <c r="H12" i="2" s="1"/>
  <c r="Y12" i="2" s="1"/>
  <c r="K12" i="2"/>
  <c r="AC11" i="2"/>
  <c r="AD11" i="2" s="1"/>
  <c r="AB11" i="2"/>
  <c r="AA11" i="2"/>
  <c r="Z11" i="2"/>
  <c r="S11" i="2"/>
  <c r="O11" i="2"/>
  <c r="K11" i="2"/>
  <c r="H11" i="2"/>
  <c r="Y11" i="2" s="1"/>
  <c r="AB10" i="2"/>
  <c r="AA10" i="2"/>
  <c r="Z10" i="2"/>
  <c r="O10" i="2"/>
  <c r="L10" i="2"/>
  <c r="S10" i="2" s="1"/>
  <c r="AC10" i="2" s="1"/>
  <c r="AD10" i="2" s="1"/>
  <c r="K10" i="2"/>
  <c r="AB9" i="2"/>
  <c r="Z9" i="2"/>
  <c r="O9" i="2"/>
  <c r="L9" i="2"/>
  <c r="S9" i="2" s="1"/>
  <c r="K9" i="2"/>
  <c r="AC8" i="2"/>
  <c r="AD8" i="2" s="1"/>
  <c r="AB8" i="2"/>
  <c r="AA8" i="2"/>
  <c r="Z8" i="2"/>
  <c r="S8" i="2"/>
  <c r="O8" i="2"/>
  <c r="H8" i="2" s="1"/>
  <c r="Y8" i="2" s="1"/>
  <c r="L8" i="2"/>
  <c r="K8" i="2"/>
  <c r="AB7" i="2"/>
  <c r="AA7" i="2"/>
  <c r="Z7" i="2"/>
  <c r="S7" i="2"/>
  <c r="AC7" i="2" s="1"/>
  <c r="AD7" i="2" s="1"/>
  <c r="O7" i="2"/>
  <c r="K7" i="2"/>
  <c r="R6" i="2"/>
  <c r="O6" i="2"/>
  <c r="J6" i="2"/>
  <c r="K6" i="2" s="1"/>
  <c r="AB5" i="2"/>
  <c r="AA5" i="2"/>
  <c r="Z5" i="2"/>
  <c r="S5" i="2"/>
  <c r="O5" i="2"/>
  <c r="K5" i="2"/>
  <c r="J5" i="2"/>
  <c r="H5" i="2"/>
  <c r="H10" i="2" l="1"/>
  <c r="Y10" i="2" s="1"/>
  <c r="H17" i="2"/>
  <c r="Y17" i="2" s="1"/>
  <c r="AC17" i="2"/>
  <c r="AD17" i="2" s="1"/>
  <c r="AC9" i="2"/>
  <c r="AD9" i="2" s="1"/>
  <c r="H9" i="2"/>
  <c r="Y9" i="2" s="1"/>
  <c r="AC30" i="2"/>
  <c r="AD30" i="2" s="1"/>
  <c r="H30" i="2"/>
  <c r="Y30" i="2" s="1"/>
  <c r="H61" i="2"/>
  <c r="Y61" i="2" s="1"/>
  <c r="AC61" i="2"/>
  <c r="AD61" i="2" s="1"/>
  <c r="S6" i="2"/>
  <c r="H6" i="2" s="1"/>
  <c r="S15" i="2"/>
  <c r="AC59" i="2"/>
  <c r="AD59" i="2" s="1"/>
  <c r="H59" i="2"/>
  <c r="Y59" i="2" s="1"/>
  <c r="H64" i="2"/>
  <c r="Y64" i="2" s="1"/>
  <c r="O72" i="2"/>
  <c r="H72" i="2" s="1"/>
  <c r="Y72" i="2" s="1"/>
  <c r="AC84" i="2"/>
  <c r="AD84" i="2" s="1"/>
  <c r="H84" i="2"/>
  <c r="Y84" i="2" s="1"/>
  <c r="Z102" i="2"/>
  <c r="K102" i="2"/>
  <c r="S102" i="2"/>
  <c r="AC102" i="2" s="1"/>
  <c r="AD102" i="2" s="1"/>
  <c r="H114" i="2"/>
  <c r="Y114" i="2" s="1"/>
  <c r="AC114" i="2"/>
  <c r="AD114" i="2" s="1"/>
  <c r="J250" i="2"/>
  <c r="Y5" i="2"/>
  <c r="AC5" i="2"/>
  <c r="AD5" i="2" s="1"/>
  <c r="H7" i="2"/>
  <c r="Y7" i="2" s="1"/>
  <c r="L250" i="2"/>
  <c r="AA9" i="2"/>
  <c r="N250" i="2"/>
  <c r="N253" i="2"/>
  <c r="K15" i="2"/>
  <c r="K16" i="2"/>
  <c r="Z16" i="2"/>
  <c r="Z17" i="2"/>
  <c r="S20" i="2"/>
  <c r="AC20" i="2" s="1"/>
  <c r="AD20" i="2" s="1"/>
  <c r="H39" i="2"/>
  <c r="Y39" i="2" s="1"/>
  <c r="Z60" i="2"/>
  <c r="K60" i="2"/>
  <c r="S60" i="2"/>
  <c r="Z61" i="2"/>
  <c r="K61" i="2"/>
  <c r="AA14" i="2"/>
  <c r="AE14" i="2"/>
  <c r="Z15" i="2"/>
  <c r="M250" i="2"/>
  <c r="M253" i="2"/>
  <c r="S31" i="2"/>
  <c r="S33" i="2"/>
  <c r="H35" i="2"/>
  <c r="Y35" i="2" s="1"/>
  <c r="AC35" i="2"/>
  <c r="AD35" i="2" s="1"/>
  <c r="H52" i="2"/>
  <c r="Y52" i="2" s="1"/>
  <c r="H102" i="2"/>
  <c r="Y102" i="2" s="1"/>
  <c r="S136" i="2"/>
  <c r="AC136" i="2" s="1"/>
  <c r="AD136" i="2" s="1"/>
  <c r="AA136" i="2"/>
  <c r="S14" i="2"/>
  <c r="S250" i="2" s="1"/>
  <c r="AB14" i="2"/>
  <c r="I250" i="2"/>
  <c r="J252" i="2" s="1"/>
  <c r="I253" i="2"/>
  <c r="H22" i="2"/>
  <c r="Y22" i="2" s="1"/>
  <c r="O26" i="2"/>
  <c r="H26" i="2" s="1"/>
  <c r="Y26" i="2" s="1"/>
  <c r="AC44" i="2"/>
  <c r="AD44" i="2" s="1"/>
  <c r="H44" i="2"/>
  <c r="Y44" i="2" s="1"/>
  <c r="S47" i="2"/>
  <c r="AC47" i="2" s="1"/>
  <c r="AD47" i="2" s="1"/>
  <c r="K47" i="2"/>
  <c r="AC54" i="2"/>
  <c r="AD54" i="2" s="1"/>
  <c r="H54" i="2"/>
  <c r="Y54" i="2" s="1"/>
  <c r="AC90" i="2"/>
  <c r="AD90" i="2" s="1"/>
  <c r="H90" i="2"/>
  <c r="Y90" i="2" s="1"/>
  <c r="S109" i="2"/>
  <c r="Z109" i="2"/>
  <c r="K109" i="2"/>
  <c r="Z200" i="2"/>
  <c r="K200" i="2"/>
  <c r="S200" i="2"/>
  <c r="AC200" i="2" s="1"/>
  <c r="AD200" i="2" s="1"/>
  <c r="AC202" i="2"/>
  <c r="AD202" i="2" s="1"/>
  <c r="H202" i="2"/>
  <c r="Y202" i="2" s="1"/>
  <c r="H55" i="2"/>
  <c r="Y55" i="2" s="1"/>
  <c r="Z114" i="2"/>
  <c r="K114" i="2"/>
  <c r="S129" i="2"/>
  <c r="AC129" i="2" s="1"/>
  <c r="AD129" i="2" s="1"/>
  <c r="AA129" i="2"/>
  <c r="S130" i="2"/>
  <c r="AC130" i="2" s="1"/>
  <c r="AD130" i="2" s="1"/>
  <c r="AA130" i="2"/>
  <c r="AA167" i="2"/>
  <c r="S167" i="2"/>
  <c r="Z231" i="2"/>
  <c r="K231" i="2"/>
  <c r="S231" i="2"/>
  <c r="AC231" i="2" s="1"/>
  <c r="AD231" i="2" s="1"/>
  <c r="S98" i="2"/>
  <c r="AC98" i="2" s="1"/>
  <c r="AD98" i="2" s="1"/>
  <c r="AA98" i="2"/>
  <c r="S112" i="2"/>
  <c r="AC112" i="2" s="1"/>
  <c r="AD112" i="2" s="1"/>
  <c r="AA112" i="2"/>
  <c r="H121" i="2"/>
  <c r="Y121" i="2" s="1"/>
  <c r="H129" i="2"/>
  <c r="Y129" i="2" s="1"/>
  <c r="H130" i="2"/>
  <c r="Y130" i="2" s="1"/>
  <c r="AC163" i="2"/>
  <c r="AD163" i="2" s="1"/>
  <c r="H163" i="2"/>
  <c r="Y163" i="2" s="1"/>
  <c r="H41" i="2"/>
  <c r="Y41" i="2" s="1"/>
  <c r="H51" i="2"/>
  <c r="Y51" i="2" s="1"/>
  <c r="AA56" i="2"/>
  <c r="H57" i="2"/>
  <c r="Y57" i="2" s="1"/>
  <c r="H65" i="2"/>
  <c r="Y65" i="2" s="1"/>
  <c r="H68" i="2"/>
  <c r="Y68" i="2" s="1"/>
  <c r="H71" i="2"/>
  <c r="Y71" i="2" s="1"/>
  <c r="Q74" i="2"/>
  <c r="O74" i="2" s="1"/>
  <c r="H74" i="2" s="1"/>
  <c r="Y74" i="2" s="1"/>
  <c r="H80" i="2"/>
  <c r="Y80" i="2" s="1"/>
  <c r="H83" i="2"/>
  <c r="Y83" i="2" s="1"/>
  <c r="H93" i="2"/>
  <c r="Y93" i="2" s="1"/>
  <c r="H94" i="2"/>
  <c r="Y94" i="2" s="1"/>
  <c r="H98" i="2"/>
  <c r="Y98" i="2" s="1"/>
  <c r="S103" i="2"/>
  <c r="AC103" i="2" s="1"/>
  <c r="AD103" i="2" s="1"/>
  <c r="K103" i="2"/>
  <c r="K250" i="2" s="1"/>
  <c r="Z103" i="2"/>
  <c r="H104" i="2"/>
  <c r="Y104" i="2" s="1"/>
  <c r="H112" i="2"/>
  <c r="Y112" i="2" s="1"/>
  <c r="O120" i="2"/>
  <c r="H120" i="2" s="1"/>
  <c r="Y120" i="2" s="1"/>
  <c r="R127" i="2"/>
  <c r="R250" i="2" s="1"/>
  <c r="Q127" i="2"/>
  <c r="P127" i="2"/>
  <c r="P253" i="2" s="1"/>
  <c r="AC131" i="2"/>
  <c r="AD131" i="2" s="1"/>
  <c r="H131" i="2"/>
  <c r="Y131" i="2" s="1"/>
  <c r="AC144" i="2"/>
  <c r="AD144" i="2" s="1"/>
  <c r="H144" i="2"/>
  <c r="Y144" i="2" s="1"/>
  <c r="Z147" i="2"/>
  <c r="K147" i="2"/>
  <c r="S147" i="2"/>
  <c r="S168" i="2"/>
  <c r="K168" i="2"/>
  <c r="S181" i="2"/>
  <c r="K181" i="2"/>
  <c r="AC213" i="2"/>
  <c r="AD213" i="2" s="1"/>
  <c r="H213" i="2"/>
  <c r="Y213" i="2" s="1"/>
  <c r="S107" i="2"/>
  <c r="AA116" i="2"/>
  <c r="AA131" i="2"/>
  <c r="Z132" i="2"/>
  <c r="K132" i="2"/>
  <c r="H136" i="2"/>
  <c r="Y136" i="2" s="1"/>
  <c r="S162" i="2"/>
  <c r="S227" i="2"/>
  <c r="AA227" i="2"/>
  <c r="Z238" i="2"/>
  <c r="K238" i="2"/>
  <c r="S238" i="2"/>
  <c r="AC238" i="2" s="1"/>
  <c r="AD238" i="2" s="1"/>
  <c r="K126" i="2"/>
  <c r="H137" i="2"/>
  <c r="Y137" i="2" s="1"/>
  <c r="H141" i="2"/>
  <c r="Y141" i="2" s="1"/>
  <c r="H146" i="2"/>
  <c r="Y146" i="2" s="1"/>
  <c r="H149" i="2"/>
  <c r="Y149" i="2" s="1"/>
  <c r="H151" i="2"/>
  <c r="Y151" i="2" s="1"/>
  <c r="S164" i="2"/>
  <c r="H166" i="2"/>
  <c r="Y166" i="2" s="1"/>
  <c r="H169" i="2"/>
  <c r="Y169" i="2" s="1"/>
  <c r="H171" i="2"/>
  <c r="Y171" i="2" s="1"/>
  <c r="H173" i="2"/>
  <c r="Y173" i="2" s="1"/>
  <c r="H182" i="2"/>
  <c r="Y182" i="2" s="1"/>
  <c r="H184" i="2"/>
  <c r="Y184" i="2" s="1"/>
  <c r="H187" i="2"/>
  <c r="Y187" i="2" s="1"/>
  <c r="AC193" i="2"/>
  <c r="AD193" i="2" s="1"/>
  <c r="H193" i="2"/>
  <c r="Y193" i="2" s="1"/>
  <c r="H208" i="2"/>
  <c r="Y208" i="2" s="1"/>
  <c r="AC216" i="2"/>
  <c r="AD216" i="2" s="1"/>
  <c r="H216" i="2"/>
  <c r="Y216" i="2" s="1"/>
  <c r="H238" i="2"/>
  <c r="Y238" i="2" s="1"/>
  <c r="H178" i="2"/>
  <c r="Y178" i="2" s="1"/>
  <c r="H199" i="2"/>
  <c r="Y199" i="2" s="1"/>
  <c r="H204" i="2"/>
  <c r="Y204" i="2" s="1"/>
  <c r="AC204" i="2"/>
  <c r="AD204" i="2" s="1"/>
  <c r="Z209" i="2"/>
  <c r="K209" i="2"/>
  <c r="S209" i="2"/>
  <c r="AC209" i="2" s="1"/>
  <c r="AD209" i="2" s="1"/>
  <c r="H230" i="2"/>
  <c r="Y230" i="2" s="1"/>
  <c r="H246" i="2"/>
  <c r="H200" i="2"/>
  <c r="Y200" i="2" s="1"/>
  <c r="H209" i="2"/>
  <c r="Y209" i="2" s="1"/>
  <c r="H218" i="2"/>
  <c r="Y218" i="2" s="1"/>
  <c r="H259" i="2"/>
  <c r="H197" i="2"/>
  <c r="Y197" i="2" s="1"/>
  <c r="H206" i="2"/>
  <c r="Y206" i="2" s="1"/>
  <c r="O217" i="2"/>
  <c r="H217" i="2" s="1"/>
  <c r="Y217" i="2" s="1"/>
  <c r="H228" i="2"/>
  <c r="Y228" i="2" s="1"/>
  <c r="AC235" i="2"/>
  <c r="AD235" i="2" s="1"/>
  <c r="H235" i="2"/>
  <c r="Y235" i="2" s="1"/>
  <c r="H237" i="2"/>
  <c r="Y237" i="2" s="1"/>
  <c r="S239" i="2"/>
  <c r="AA239" i="2"/>
  <c r="H247" i="2"/>
  <c r="H255" i="2"/>
  <c r="K195" i="2"/>
  <c r="H207" i="2"/>
  <c r="Y207" i="2" s="1"/>
  <c r="Z213" i="2"/>
  <c r="K218" i="2"/>
  <c r="K240" i="2"/>
  <c r="AC245" i="2"/>
  <c r="AD245" i="2" s="1"/>
  <c r="H103" i="2" l="1"/>
  <c r="Y103" i="2" s="1"/>
  <c r="AC31" i="2"/>
  <c r="AD31" i="2" s="1"/>
  <c r="H31" i="2"/>
  <c r="Y31" i="2" s="1"/>
  <c r="Q253" i="2"/>
  <c r="H231" i="2"/>
  <c r="Y231" i="2" s="1"/>
  <c r="AC107" i="2"/>
  <c r="AD107" i="2" s="1"/>
  <c r="H107" i="2"/>
  <c r="Y107" i="2" s="1"/>
  <c r="H181" i="2"/>
  <c r="Y181" i="2" s="1"/>
  <c r="AC181" i="2"/>
  <c r="AD181" i="2" s="1"/>
  <c r="P250" i="2"/>
  <c r="Q250" i="2"/>
  <c r="H239" i="2"/>
  <c r="Y239" i="2" s="1"/>
  <c r="AC239" i="2"/>
  <c r="AD239" i="2" s="1"/>
  <c r="H147" i="2"/>
  <c r="Y147" i="2" s="1"/>
  <c r="AC147" i="2"/>
  <c r="AD147" i="2" s="1"/>
  <c r="H227" i="2"/>
  <c r="Y227" i="2" s="1"/>
  <c r="AC227" i="2"/>
  <c r="AD227" i="2" s="1"/>
  <c r="S253" i="2"/>
  <c r="H14" i="2"/>
  <c r="AC14" i="2"/>
  <c r="AD14" i="2" s="1"/>
  <c r="O253" i="2"/>
  <c r="H60" i="2"/>
  <c r="Y60" i="2" s="1"/>
  <c r="AC60" i="2"/>
  <c r="AD60" i="2" s="1"/>
  <c r="R253" i="2"/>
  <c r="H15" i="2"/>
  <c r="Y15" i="2" s="1"/>
  <c r="AC15" i="2"/>
  <c r="AD15" i="2" s="1"/>
  <c r="H20" i="2"/>
  <c r="Y20" i="2" s="1"/>
  <c r="H164" i="2"/>
  <c r="Y164" i="2" s="1"/>
  <c r="AC164" i="2"/>
  <c r="AD164" i="2" s="1"/>
  <c r="AC162" i="2"/>
  <c r="AD162" i="2" s="1"/>
  <c r="H162" i="2"/>
  <c r="Y162" i="2" s="1"/>
  <c r="H168" i="2"/>
  <c r="Y168" i="2" s="1"/>
  <c r="AC168" i="2"/>
  <c r="AD168" i="2" s="1"/>
  <c r="O127" i="2"/>
  <c r="H127" i="2" s="1"/>
  <c r="Y127" i="2" s="1"/>
  <c r="H167" i="2"/>
  <c r="Y167" i="2" s="1"/>
  <c r="AC167" i="2"/>
  <c r="AD167" i="2" s="1"/>
  <c r="H109" i="2"/>
  <c r="Y109" i="2" s="1"/>
  <c r="AC109" i="2"/>
  <c r="AD109" i="2" s="1"/>
  <c r="AC33" i="2"/>
  <c r="AD33" i="2" s="1"/>
  <c r="H33" i="2"/>
  <c r="Y33" i="2" s="1"/>
  <c r="H47" i="2"/>
  <c r="Y47" i="2" s="1"/>
  <c r="O250" i="2" l="1"/>
  <c r="H253" i="2"/>
  <c r="Y14" i="2"/>
  <c r="H250" i="2"/>
  <c r="Y250" i="2" s="1"/>
</calcChain>
</file>

<file path=xl/sharedStrings.xml><?xml version="1.0" encoding="utf-8"?>
<sst xmlns="http://schemas.openxmlformats.org/spreadsheetml/2006/main" count="5732" uniqueCount="452">
  <si>
    <t>Адресный перечень МКД  с датами перехода на прямые договоры с ПАО ТГК-1</t>
  </si>
  <si>
    <t>Номер договора с ТГК-1 и ЖКС №1 ВО района</t>
  </si>
  <si>
    <t>Улица</t>
  </si>
  <si>
    <t>Номер дома</t>
  </si>
  <si>
    <t>Корпус</t>
  </si>
  <si>
    <t>Литера</t>
  </si>
  <si>
    <t>Общая площадь дома (sитого) по данным УО</t>
  </si>
  <si>
    <t>Площадь свободных жилых помещений, м2.</t>
  </si>
  <si>
    <t>Общая площадь жилых помещений, на которую выполнен расчёт начислений</t>
  </si>
  <si>
    <t>Приведенная нежилая площадь(*)</t>
  </si>
  <si>
    <t>в том числе площадь свободных нежилых помещений, м2.</t>
  </si>
  <si>
    <t>Площадь общего имущ.дома (so) по данным УО</t>
  </si>
  <si>
    <t>Общее имущество</t>
  </si>
  <si>
    <t>Адрес</t>
  </si>
  <si>
    <t>Общая площадь</t>
  </si>
  <si>
    <t>Жилая площадь</t>
  </si>
  <si>
    <t>Нежилая площадь</t>
  </si>
  <si>
    <t>Общедомовое имущество</t>
  </si>
  <si>
    <t>Жилая + нежилая площадь</t>
  </si>
  <si>
    <t>дата перехода на прямой договор с ПАО ТГК-1</t>
  </si>
  <si>
    <t>дом с гвс</t>
  </si>
  <si>
    <t>Площадь л/клеток</t>
  </si>
  <si>
    <t>Тех. помещения( т/ц, водомеры, эл. щитовые,колясочные мусор.)</t>
  </si>
  <si>
    <t>прочая</t>
  </si>
  <si>
    <t>Общая площадь жилых и нежилых помещений (sж+н) по данным УО</t>
  </si>
  <si>
    <t>Код дома</t>
  </si>
  <si>
    <t>№10020 от 01.06.2008г</t>
  </si>
  <si>
    <t>г.Санкт-Петербург, Большой проспект В.О.</t>
  </si>
  <si>
    <t>52/15</t>
  </si>
  <si>
    <t/>
  </si>
  <si>
    <t>А</t>
  </si>
  <si>
    <t>1</t>
  </si>
  <si>
    <t>04815</t>
  </si>
  <si>
    <t>БОЛЬШОЙ ПР. В.О.</t>
  </si>
  <si>
    <t>01.10.2021г (по уведомлению ТГК-1)</t>
  </si>
  <si>
    <t>№ 11140 от 01.10.2018г</t>
  </si>
  <si>
    <t>62</t>
  </si>
  <si>
    <t>+литВ</t>
  </si>
  <si>
    <t>05562</t>
  </si>
  <si>
    <t>дом остался в ЖКС №1</t>
  </si>
  <si>
    <t>82</t>
  </si>
  <si>
    <t>21282</t>
  </si>
  <si>
    <t>+литЗ</t>
  </si>
  <si>
    <t>Б</t>
  </si>
  <si>
    <t>21283</t>
  </si>
  <si>
    <t>89</t>
  </si>
  <si>
    <t>21289</t>
  </si>
  <si>
    <t>90</t>
  </si>
  <si>
    <t>21299</t>
  </si>
  <si>
    <t>91</t>
  </si>
  <si>
    <t>21291</t>
  </si>
  <si>
    <t>92</t>
  </si>
  <si>
    <t>21292</t>
  </si>
  <si>
    <t>94</t>
  </si>
  <si>
    <t>21594</t>
  </si>
  <si>
    <t>96</t>
  </si>
  <si>
    <t>В</t>
  </si>
  <si>
    <t xml:space="preserve">отопления нет </t>
  </si>
  <si>
    <t>01.04.2021г (по собранию в МКД)</t>
  </si>
  <si>
    <t>99</t>
  </si>
  <si>
    <t>21209</t>
  </si>
  <si>
    <t>21211</t>
  </si>
  <si>
    <t>101</t>
  </si>
  <si>
    <t>21210</t>
  </si>
  <si>
    <t>г.Санкт-Петербург, Вёсельная улица</t>
  </si>
  <si>
    <t>2/93</t>
  </si>
  <si>
    <t>21102</t>
  </si>
  <si>
    <t>ВЕСЕЛЬНАЯ УЛ.</t>
  </si>
  <si>
    <t>21103</t>
  </si>
  <si>
    <t>4</t>
  </si>
  <si>
    <t>21104</t>
  </si>
  <si>
    <t>21105</t>
  </si>
  <si>
    <t>5</t>
  </si>
  <si>
    <t>21533</t>
  </si>
  <si>
    <t>7/10</t>
  </si>
  <si>
    <t>21410</t>
  </si>
  <si>
    <t>СРЕДНЕГАВАНСКИЙ ПР.</t>
  </si>
  <si>
    <t>10</t>
  </si>
  <si>
    <t>8</t>
  </si>
  <si>
    <t>21108</t>
  </si>
  <si>
    <t>9</t>
  </si>
  <si>
    <t>21109</t>
  </si>
  <si>
    <t>21110</t>
  </si>
  <si>
    <t>11</t>
  </si>
  <si>
    <t>21111</t>
  </si>
  <si>
    <t>12</t>
  </si>
  <si>
    <t>21112</t>
  </si>
  <si>
    <t>г.Санкт-Петербург, Гаванская улица</t>
  </si>
  <si>
    <t>2/97</t>
  </si>
  <si>
    <t>21002</t>
  </si>
  <si>
    <t>ГАВАНСКАЯ УЛ.</t>
  </si>
  <si>
    <t>21004</t>
  </si>
  <si>
    <t>6</t>
  </si>
  <si>
    <t>21006</t>
  </si>
  <si>
    <t>7</t>
  </si>
  <si>
    <t>01.09.2021г (по собравнию в МКД)</t>
  </si>
  <si>
    <t>44010</t>
  </si>
  <si>
    <t>11/16</t>
  </si>
  <si>
    <t>21011</t>
  </si>
  <si>
    <t>44012</t>
  </si>
  <si>
    <t>14</t>
  </si>
  <si>
    <t>44114</t>
  </si>
  <si>
    <t>+Г</t>
  </si>
  <si>
    <t>Д</t>
  </si>
  <si>
    <t>44014</t>
  </si>
  <si>
    <t>15</t>
  </si>
  <si>
    <t>44015</t>
  </si>
  <si>
    <t>16</t>
  </si>
  <si>
    <t>44016</t>
  </si>
  <si>
    <t>17</t>
  </si>
  <si>
    <t>44017</t>
  </si>
  <si>
    <t>19/100</t>
  </si>
  <si>
    <t>44019</t>
  </si>
  <si>
    <t>24</t>
  </si>
  <si>
    <t>01.10.2021г (по собранию в МКД)</t>
  </si>
  <si>
    <t>26</t>
  </si>
  <si>
    <t>27</t>
  </si>
  <si>
    <t>44027</t>
  </si>
  <si>
    <t>30</t>
  </si>
  <si>
    <t>44030</t>
  </si>
  <si>
    <t>32</t>
  </si>
  <si>
    <t>44032</t>
  </si>
  <si>
    <t>33</t>
  </si>
  <si>
    <t>22033</t>
  </si>
  <si>
    <t>34</t>
  </si>
  <si>
    <t>44034</t>
  </si>
  <si>
    <t>35</t>
  </si>
  <si>
    <t>22035</t>
  </si>
  <si>
    <t>36</t>
  </si>
  <si>
    <t>44036</t>
  </si>
  <si>
    <t>37</t>
  </si>
  <si>
    <t>22037</t>
  </si>
  <si>
    <t>38</t>
  </si>
  <si>
    <t>44038</t>
  </si>
  <si>
    <t>40</t>
  </si>
  <si>
    <t>44040</t>
  </si>
  <si>
    <t>41</t>
  </si>
  <si>
    <t>22041</t>
  </si>
  <si>
    <t>42</t>
  </si>
  <si>
    <t>44042</t>
  </si>
  <si>
    <t>43</t>
  </si>
  <si>
    <t>23043</t>
  </si>
  <si>
    <t>44</t>
  </si>
  <si>
    <t>23044</t>
  </si>
  <si>
    <t>45</t>
  </si>
  <si>
    <t>22045</t>
  </si>
  <si>
    <t>46</t>
  </si>
  <si>
    <t>23046</t>
  </si>
  <si>
    <t>47</t>
  </si>
  <si>
    <t>+УМВД</t>
  </si>
  <si>
    <t>23147</t>
  </si>
  <si>
    <t>23247</t>
  </si>
  <si>
    <t>23547</t>
  </si>
  <si>
    <t>47ВО</t>
  </si>
  <si>
    <t>23347</t>
  </si>
  <si>
    <t>Г</t>
  </si>
  <si>
    <t>23447</t>
  </si>
  <si>
    <t>23047</t>
  </si>
  <si>
    <t>48</t>
  </si>
  <si>
    <t>23048</t>
  </si>
  <si>
    <t>49</t>
  </si>
  <si>
    <t>2</t>
  </si>
  <si>
    <t>23249</t>
  </si>
  <si>
    <t>51</t>
  </si>
  <si>
    <t>23051</t>
  </si>
  <si>
    <t>г.Санкт-Петербург, Детская улица</t>
  </si>
  <si>
    <t>ДЕТСКАЯ УЛ.</t>
  </si>
  <si>
    <t>01.07.2021г (по собранию в МКД)</t>
  </si>
  <si>
    <t>21717 Г</t>
  </si>
  <si>
    <t>17г</t>
  </si>
  <si>
    <t>С гвс</t>
  </si>
  <si>
    <t>21917</t>
  </si>
  <si>
    <t>17А</t>
  </si>
  <si>
    <t>общ</t>
  </si>
  <si>
    <t>21817</t>
  </si>
  <si>
    <t>01.05.2021г (по собранию в МКД)</t>
  </si>
  <si>
    <t>21834</t>
  </si>
  <si>
    <t>34/90</t>
  </si>
  <si>
    <t>ГУПТЭК</t>
  </si>
  <si>
    <t>г.Санкт-Петербург, Железноводская улица</t>
  </si>
  <si>
    <t>26-28</t>
  </si>
  <si>
    <t>19626</t>
  </si>
  <si>
    <t>ЖЕЛЕЗНОВОДСКАЯ УЛ.</t>
  </si>
  <si>
    <t>г.Санкт-Петербург, Канареечная улица</t>
  </si>
  <si>
    <t>6/4</t>
  </si>
  <si>
    <t>21906</t>
  </si>
  <si>
    <t>КАНАРЕЕЧНАЯ УЛ.</t>
  </si>
  <si>
    <t>21910</t>
  </si>
  <si>
    <t>г.Санкт-Петербург, Карташихина улица</t>
  </si>
  <si>
    <t>2/13</t>
  </si>
  <si>
    <t>44602</t>
  </si>
  <si>
    <t>КАРТАШИХИНА УЛ.</t>
  </si>
  <si>
    <t>10/97</t>
  </si>
  <si>
    <t>44610</t>
  </si>
  <si>
    <t>44612</t>
  </si>
  <si>
    <t>13</t>
  </si>
  <si>
    <t>22613</t>
  </si>
  <si>
    <t>22617</t>
  </si>
  <si>
    <t>19</t>
  </si>
  <si>
    <t>22619</t>
  </si>
  <si>
    <t>20</t>
  </si>
  <si>
    <t>22620</t>
  </si>
  <si>
    <t>21</t>
  </si>
  <si>
    <t>+К23</t>
  </si>
  <si>
    <t>22621</t>
  </si>
  <si>
    <t>22</t>
  </si>
  <si>
    <t>22623</t>
  </si>
  <si>
    <t>22А</t>
  </si>
  <si>
    <t>22622</t>
  </si>
  <si>
    <t>Балтийский завод</t>
  </si>
  <si>
    <t>г.Санкт-Петербург, Косая линия</t>
  </si>
  <si>
    <t>24/25</t>
  </si>
  <si>
    <t>23125</t>
  </si>
  <si>
    <t>КОСАЯ ЛИНИЯ</t>
  </si>
  <si>
    <t>г.Санкт-Петербург, Малый проспект В.О.</t>
  </si>
  <si>
    <t>65</t>
  </si>
  <si>
    <t>23251</t>
  </si>
  <si>
    <t>МАЛЫЙ ПР. В.О.</t>
  </si>
  <si>
    <t>23252</t>
  </si>
  <si>
    <t>67</t>
  </si>
  <si>
    <t>23271</t>
  </si>
  <si>
    <t>23272</t>
  </si>
  <si>
    <t>70</t>
  </si>
  <si>
    <t>22270</t>
  </si>
  <si>
    <t>75</t>
  </si>
  <si>
    <t>23275</t>
  </si>
  <si>
    <t>г.Санкт-Петербург, Мичманская улица</t>
  </si>
  <si>
    <t>47202</t>
  </si>
  <si>
    <t>МИЧМАНСКАЯ УЛ.</t>
  </si>
  <si>
    <t>г.Санкт-Петербург, Морская набережная</t>
  </si>
  <si>
    <t>49229</t>
  </si>
  <si>
    <t>МОРСКАЯ НАБ.</t>
  </si>
  <si>
    <t>47215</t>
  </si>
  <si>
    <t>47225</t>
  </si>
  <si>
    <t>47235</t>
  </si>
  <si>
    <t>47217</t>
  </si>
  <si>
    <t>47227</t>
  </si>
  <si>
    <t>47237</t>
  </si>
  <si>
    <t>Ж</t>
  </si>
  <si>
    <t>47247</t>
  </si>
  <si>
    <t>47257</t>
  </si>
  <si>
    <t>3</t>
  </si>
  <si>
    <t>47317</t>
  </si>
  <si>
    <t>11219</t>
  </si>
  <si>
    <t>г.Санкт-Петербург, Наличная улица</t>
  </si>
  <si>
    <t>44555</t>
  </si>
  <si>
    <t>НАЛИЧНАЯ УЛ.</t>
  </si>
  <si>
    <t>44557</t>
  </si>
  <si>
    <t>отопление</t>
  </si>
  <si>
    <t>01.03.2021г (по собранию в МКД)</t>
  </si>
  <si>
    <t>44821</t>
  </si>
  <si>
    <t>44823</t>
  </si>
  <si>
    <t>24414</t>
  </si>
  <si>
    <t>44814</t>
  </si>
  <si>
    <t>15А</t>
  </si>
  <si>
    <t>44815</t>
  </si>
  <si>
    <t>44816</t>
  </si>
  <si>
    <t>№ 64614-ику-02 от 01.03.2020г</t>
  </si>
  <si>
    <t>18</t>
  </si>
  <si>
    <t>23418</t>
  </si>
  <si>
    <t>24419</t>
  </si>
  <si>
    <t>24579</t>
  </si>
  <si>
    <t>+Оп16</t>
  </si>
  <si>
    <t>24420</t>
  </si>
  <si>
    <t>24421</t>
  </si>
  <si>
    <t>24521</t>
  </si>
  <si>
    <t>21А</t>
  </si>
  <si>
    <t>24422</t>
  </si>
  <si>
    <t>23</t>
  </si>
  <si>
    <t>24423</t>
  </si>
  <si>
    <t>25/84</t>
  </si>
  <si>
    <t>24425</t>
  </si>
  <si>
    <t>25</t>
  </si>
  <si>
    <t>23427</t>
  </si>
  <si>
    <t>29</t>
  </si>
  <si>
    <t>23429</t>
  </si>
  <si>
    <t>31</t>
  </si>
  <si>
    <t>23431</t>
  </si>
  <si>
    <t>23433</t>
  </si>
  <si>
    <t>23451</t>
  </si>
  <si>
    <t>23452</t>
  </si>
  <si>
    <t>23453</t>
  </si>
  <si>
    <t>11361</t>
  </si>
  <si>
    <t>11363</t>
  </si>
  <si>
    <t>23472</t>
  </si>
  <si>
    <t>23437</t>
  </si>
  <si>
    <t>49445</t>
  </si>
  <si>
    <t>г.Санкт-Петербург, Опочинина улица</t>
  </si>
  <si>
    <t>21303</t>
  </si>
  <si>
    <t>ОПОЧИНИНА УЛ.</t>
  </si>
  <si>
    <t>21305</t>
  </si>
  <si>
    <t>21307</t>
  </si>
  <si>
    <t>21309</t>
  </si>
  <si>
    <t>21313</t>
  </si>
  <si>
    <t>15/18</t>
  </si>
  <si>
    <t>21315</t>
  </si>
  <si>
    <t>44317</t>
  </si>
  <si>
    <t>44417</t>
  </si>
  <si>
    <t>44321</t>
  </si>
  <si>
    <t>44327</t>
  </si>
  <si>
    <t>44329</t>
  </si>
  <si>
    <t>г.Санкт-Петербург, Остоумова улица</t>
  </si>
  <si>
    <t>7-9</t>
  </si>
  <si>
    <t>22407</t>
  </si>
  <si>
    <t>ОСТОУМОВА УЛ.</t>
  </si>
  <si>
    <t>22412</t>
  </si>
  <si>
    <t>22408</t>
  </si>
  <si>
    <t>22410</t>
  </si>
  <si>
    <t>ГУП ТЭК</t>
  </si>
  <si>
    <t>г.Санкт-Петербург, проспект КИМа</t>
  </si>
  <si>
    <t>19311</t>
  </si>
  <si>
    <t>КИМА ПР.</t>
  </si>
  <si>
    <t>19313</t>
  </si>
  <si>
    <t>г.Санкт-Петербург, Среднегаванский проспект</t>
  </si>
  <si>
    <t>1/3</t>
  </si>
  <si>
    <t>2/20</t>
  </si>
  <si>
    <t>21402</t>
  </si>
  <si>
    <t>21602</t>
  </si>
  <si>
    <t>21403</t>
  </si>
  <si>
    <t>7/8</t>
  </si>
  <si>
    <t>21409</t>
  </si>
  <si>
    <t>21414</t>
  </si>
  <si>
    <t>№ 63260-ику-02 от 10.09.2019г</t>
  </si>
  <si>
    <t>г.Санкт-Петербург, Средний проспект В.О.</t>
  </si>
  <si>
    <t>42870</t>
  </si>
  <si>
    <t>СРЕДНИЙ ПР. В.О.</t>
  </si>
  <si>
    <t>ГорЭлектротранс</t>
  </si>
  <si>
    <t>79</t>
  </si>
  <si>
    <t>21790</t>
  </si>
  <si>
    <t>21791</t>
  </si>
  <si>
    <t>21792</t>
  </si>
  <si>
    <t>21796</t>
  </si>
  <si>
    <t>98</t>
  </si>
  <si>
    <t>21798</t>
  </si>
  <si>
    <t>99/18</t>
  </si>
  <si>
    <t>44018</t>
  </si>
  <si>
    <t>44850</t>
  </si>
  <si>
    <t>Театральная академия</t>
  </si>
  <si>
    <t>106</t>
  </si>
  <si>
    <t>44106</t>
  </si>
  <si>
    <t>№ 67480-одн-02 от 01.07.2021г</t>
  </si>
  <si>
    <t>г.Санкт-Петербург, улица Беринга</t>
  </si>
  <si>
    <t>З</t>
  </si>
  <si>
    <t>БЕРИНГА УЛ.</t>
  </si>
  <si>
    <t>23116</t>
  </si>
  <si>
    <t>23119</t>
  </si>
  <si>
    <t>23120</t>
  </si>
  <si>
    <t>23121</t>
  </si>
  <si>
    <t>23141</t>
  </si>
  <si>
    <t>23142</t>
  </si>
  <si>
    <t>23124</t>
  </si>
  <si>
    <t>23161</t>
  </si>
  <si>
    <t>Е</t>
  </si>
  <si>
    <t>23162</t>
  </si>
  <si>
    <t>28</t>
  </si>
  <si>
    <t>23118</t>
  </si>
  <si>
    <t>23128</t>
  </si>
  <si>
    <t>49132</t>
  </si>
  <si>
    <t>г.Санкт-Петербург, улица Кораблестроителей</t>
  </si>
  <si>
    <t>47016</t>
  </si>
  <si>
    <t>КОРАБЛЕСТРОИТЕЛЕЙ УЛ.</t>
  </si>
  <si>
    <t>11911</t>
  </si>
  <si>
    <t>11912</t>
  </si>
  <si>
    <t>11920</t>
  </si>
  <si>
    <t>47022</t>
  </si>
  <si>
    <t>г.Санкт-Петербург, улица Нахимова</t>
  </si>
  <si>
    <t>49401</t>
  </si>
  <si>
    <t>НАХИМОВА УЛ.</t>
  </si>
  <si>
    <t>2/30</t>
  </si>
  <si>
    <t>23502</t>
  </si>
  <si>
    <t>11032</t>
  </si>
  <si>
    <t>11054</t>
  </si>
  <si>
    <t>11073</t>
  </si>
  <si>
    <t>23508</t>
  </si>
  <si>
    <t>14/41</t>
  </si>
  <si>
    <t>23514</t>
  </si>
  <si>
    <t>23614</t>
  </si>
  <si>
    <t>г.Санкт-Петербург, улица Одоевского</t>
  </si>
  <si>
    <t>19112</t>
  </si>
  <si>
    <t>ОДОЕВСКОГО УЛ.</t>
  </si>
  <si>
    <t>г.Санкт-Петербург, улица Шевченко</t>
  </si>
  <si>
    <t>2а</t>
  </si>
  <si>
    <t>21502</t>
  </si>
  <si>
    <t>ШЕВЧЕНКО УЛ.</t>
  </si>
  <si>
    <t>2А</t>
  </si>
  <si>
    <t>3б</t>
  </si>
  <si>
    <t>21503</t>
  </si>
  <si>
    <t>3Б</t>
  </si>
  <si>
    <t>5/6</t>
  </si>
  <si>
    <t>21505</t>
  </si>
  <si>
    <t>21511</t>
  </si>
  <si>
    <t>21512</t>
  </si>
  <si>
    <t>+лит.Д</t>
  </si>
  <si>
    <t>21516</t>
  </si>
  <si>
    <t>22517</t>
  </si>
  <si>
    <t>21518</t>
  </si>
  <si>
    <t>22521</t>
  </si>
  <si>
    <t>22522</t>
  </si>
  <si>
    <t>22523</t>
  </si>
  <si>
    <t>22524</t>
  </si>
  <si>
    <t>22525</t>
  </si>
  <si>
    <t>22527</t>
  </si>
  <si>
    <t>27/72</t>
  </si>
  <si>
    <t>22528</t>
  </si>
  <si>
    <t>23629</t>
  </si>
  <si>
    <t>23632</t>
  </si>
  <si>
    <t>23633</t>
  </si>
  <si>
    <t>23634</t>
  </si>
  <si>
    <t>23637</t>
  </si>
  <si>
    <t>23638</t>
  </si>
  <si>
    <t>г.Санкт-Петербург, Шкиперский проток</t>
  </si>
  <si>
    <t>21200</t>
  </si>
  <si>
    <t>ШКИПЕРСКИЙ ПРОТОК</t>
  </si>
  <si>
    <t>ГУЖА ВО района</t>
  </si>
  <si>
    <t>г.Санкт-Петербург, 12-я линия В.О.</t>
  </si>
  <si>
    <t>40219</t>
  </si>
  <si>
    <t>ЛИНИЯ 12-Я</t>
  </si>
  <si>
    <t>г.Санкт-Петербург, 13-я линия В.О.</t>
  </si>
  <si>
    <t>2/19</t>
  </si>
  <si>
    <t>+литБ</t>
  </si>
  <si>
    <t>04302</t>
  </si>
  <si>
    <t>ЛИНИЯ 13-Я</t>
  </si>
  <si>
    <t>УК Возрождение</t>
  </si>
  <si>
    <t>г.Санкт-Петербург, 19-я линия В.О.</t>
  </si>
  <si>
    <t>05106</t>
  </si>
  <si>
    <t>ЛИНИЯ 19-Я</t>
  </si>
  <si>
    <t>05107</t>
  </si>
  <si>
    <t>6А</t>
  </si>
  <si>
    <t>г.Санкт-Петербург, 20-я линия В.О.</t>
  </si>
  <si>
    <t>05209</t>
  </si>
  <si>
    <t>ЛИНИЯ 20-Я</t>
  </si>
  <si>
    <t>05213</t>
  </si>
  <si>
    <t>05208</t>
  </si>
  <si>
    <t>г.Санкт-Петербург, 23-я линия В.О.</t>
  </si>
  <si>
    <t>05328</t>
  </si>
  <si>
    <t>ЛИНИЯ 23-Я</t>
  </si>
  <si>
    <t>05215</t>
  </si>
  <si>
    <t>г.Санкт-Петербург, 10-я линия В.О.</t>
  </si>
  <si>
    <t>03017</t>
  </si>
  <si>
    <t>прямой договор с ТГК1</t>
  </si>
  <si>
    <t xml:space="preserve">г.Санкт-Петербург, наб. Макарова </t>
  </si>
  <si>
    <t>01.05.2019г (по собранию в МКД)</t>
  </si>
  <si>
    <t>соглашение на  ОДН</t>
  </si>
  <si>
    <t>54</t>
  </si>
  <si>
    <t xml:space="preserve">Начальник ПДО </t>
  </si>
  <si>
    <t>Блиндюк Т.Б.</t>
  </si>
  <si>
    <t>31 шт</t>
  </si>
  <si>
    <t xml:space="preserve">Для отопления </t>
  </si>
  <si>
    <t xml:space="preserve">для расчета ОДН вся площадь </t>
  </si>
  <si>
    <t>свои т/Ц</t>
  </si>
  <si>
    <t>прямой договор с ТГК, отопление нет</t>
  </si>
  <si>
    <t>не начисляем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</si>
</sst>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64"/>
      <name val="Microsoft Sans Serif"/>
      <family val="2"/>
      <charset val="204"/>
    </font>
    <font>
      <b/>
      <sz val="10"/>
      <color indexed="64"/>
      <name val="Microsoft Sans Serif"/>
      <family val="2"/>
      <charset val="204"/>
    </font>
    <font>
      <sz val="10"/>
      <name val="Microsoft Sans Serif"/>
      <family val="2"/>
      <charset val="204"/>
    </font>
    <font>
      <b/>
      <sz val="10"/>
      <name val="Microsoft Sans Serif"/>
      <family val="2"/>
      <charset val="204"/>
    </font>
    <font>
      <sz val="8"/>
      <color indexed="64"/>
      <name val="Microsoft Sans Serif"/>
      <family val="2"/>
      <charset val="204"/>
    </font>
    <font>
      <b/>
      <sz val="14"/>
      <color indexed="8"/>
      <name val="Calibri"/>
      <family val="2"/>
      <charset val="204"/>
    </font>
    <font>
      <sz val="8"/>
      <name val="Microsoft Sans Serif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3" fillId="0" borderId="0" xfId="1" applyFont="1"/>
    <xf numFmtId="0" fontId="5" fillId="2" borderId="5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vertical="center" wrapText="1"/>
    </xf>
    <xf numFmtId="0" fontId="1" fillId="2" borderId="5" xfId="1" applyFill="1" applyBorder="1" applyAlignment="1">
      <alignment horizontal="center" vertical="center"/>
    </xf>
    <xf numFmtId="0" fontId="1" fillId="0" borderId="5" xfId="1" applyBorder="1"/>
    <xf numFmtId="0" fontId="7" fillId="0" borderId="5" xfId="1" applyFont="1" applyBorder="1"/>
    <xf numFmtId="0" fontId="1" fillId="0" borderId="0" xfId="1"/>
    <xf numFmtId="0" fontId="5" fillId="2" borderId="15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0" xfId="1" applyFont="1"/>
    <xf numFmtId="0" fontId="5" fillId="0" borderId="22" xfId="1" applyFont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vertical="center"/>
    </xf>
    <xf numFmtId="0" fontId="9" fillId="2" borderId="24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8" fillId="0" borderId="3" xfId="1" applyFont="1" applyBorder="1"/>
    <xf numFmtId="49" fontId="11" fillId="2" borderId="3" xfId="1" applyNumberFormat="1" applyFont="1" applyFill="1" applyBorder="1"/>
    <xf numFmtId="49" fontId="11" fillId="2" borderId="3" xfId="1" applyNumberFormat="1" applyFont="1" applyFill="1" applyBorder="1" applyAlignment="1">
      <alignment horizontal="center" vertical="center"/>
    </xf>
    <xf numFmtId="49" fontId="11" fillId="2" borderId="4" xfId="1" applyNumberFormat="1" applyFont="1" applyFill="1" applyBorder="1" applyAlignment="1">
      <alignment horizontal="center" vertical="center"/>
    </xf>
    <xf numFmtId="49" fontId="12" fillId="2" borderId="9" xfId="1" applyNumberFormat="1" applyFont="1" applyFill="1" applyBorder="1" applyAlignment="1">
      <alignment horizontal="center" vertical="center"/>
    </xf>
    <xf numFmtId="4" fontId="12" fillId="2" borderId="29" xfId="1" applyNumberFormat="1" applyFont="1" applyFill="1" applyBorder="1" applyAlignment="1">
      <alignment horizontal="center" vertical="center"/>
    </xf>
    <xf numFmtId="4" fontId="13" fillId="2" borderId="10" xfId="1" applyNumberFormat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4" fontId="11" fillId="2" borderId="3" xfId="1" applyNumberFormat="1" applyFont="1" applyFill="1" applyBorder="1" applyAlignment="1">
      <alignment horizontal="center" vertical="center"/>
    </xf>
    <xf numFmtId="2" fontId="11" fillId="2" borderId="3" xfId="1" applyNumberFormat="1" applyFont="1" applyFill="1" applyBorder="1" applyAlignment="1">
      <alignment horizontal="center" vertical="center"/>
    </xf>
    <xf numFmtId="4" fontId="11" fillId="2" borderId="10" xfId="1" applyNumberFormat="1" applyFont="1" applyFill="1" applyBorder="1" applyAlignment="1">
      <alignment horizontal="center" vertical="center"/>
    </xf>
    <xf numFmtId="4" fontId="14" fillId="4" borderId="3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/>
    <xf numFmtId="49" fontId="11" fillId="5" borderId="3" xfId="1" applyNumberFormat="1" applyFont="1" applyFill="1" applyBorder="1" applyAlignment="1">
      <alignment horizontal="center" vertical="center"/>
    </xf>
    <xf numFmtId="4" fontId="11" fillId="5" borderId="3" xfId="1" applyNumberFormat="1" applyFont="1" applyFill="1" applyBorder="1"/>
    <xf numFmtId="0" fontId="11" fillId="5" borderId="3" xfId="1" applyFont="1" applyFill="1" applyBorder="1"/>
    <xf numFmtId="2" fontId="11" fillId="5" borderId="3" xfId="1" applyNumberFormat="1" applyFont="1" applyFill="1" applyBorder="1"/>
    <xf numFmtId="2" fontId="11" fillId="0" borderId="8" xfId="1" applyNumberFormat="1" applyFont="1" applyBorder="1"/>
    <xf numFmtId="49" fontId="11" fillId="6" borderId="3" xfId="1" applyNumberFormat="1" applyFont="1" applyFill="1" applyBorder="1"/>
    <xf numFmtId="49" fontId="11" fillId="6" borderId="3" xfId="1" applyNumberFormat="1" applyFont="1" applyFill="1" applyBorder="1" applyAlignment="1">
      <alignment horizontal="center" vertical="center"/>
    </xf>
    <xf numFmtId="49" fontId="11" fillId="6" borderId="4" xfId="1" applyNumberFormat="1" applyFont="1" applyFill="1" applyBorder="1" applyAlignment="1">
      <alignment horizontal="center" vertical="center"/>
    </xf>
    <xf numFmtId="49" fontId="12" fillId="6" borderId="9" xfId="1" applyNumberFormat="1" applyFont="1" applyFill="1" applyBorder="1" applyAlignment="1">
      <alignment horizontal="center" vertical="center"/>
    </xf>
    <xf numFmtId="4" fontId="12" fillId="6" borderId="29" xfId="1" applyNumberFormat="1" applyFont="1" applyFill="1" applyBorder="1" applyAlignment="1">
      <alignment horizontal="center" vertical="center"/>
    </xf>
    <xf numFmtId="4" fontId="13" fillId="6" borderId="10" xfId="1" applyNumberFormat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4" fontId="11" fillId="6" borderId="3" xfId="1" applyNumberFormat="1" applyFont="1" applyFill="1" applyBorder="1" applyAlignment="1">
      <alignment horizontal="center" vertical="center"/>
    </xf>
    <xf numFmtId="2" fontId="11" fillId="6" borderId="3" xfId="1" applyNumberFormat="1" applyFont="1" applyFill="1" applyBorder="1" applyAlignment="1">
      <alignment horizontal="center" vertical="center"/>
    </xf>
    <xf numFmtId="4" fontId="11" fillId="6" borderId="10" xfId="1" applyNumberFormat="1" applyFont="1" applyFill="1" applyBorder="1" applyAlignment="1">
      <alignment horizontal="center" vertical="center"/>
    </xf>
    <xf numFmtId="4" fontId="14" fillId="6" borderId="3" xfId="1" applyNumberFormat="1" applyFont="1" applyFill="1" applyBorder="1" applyAlignment="1">
      <alignment horizontal="center" vertical="center"/>
    </xf>
    <xf numFmtId="4" fontId="11" fillId="6" borderId="3" xfId="1" applyNumberFormat="1" applyFont="1" applyFill="1" applyBorder="1"/>
    <xf numFmtId="0" fontId="11" fillId="6" borderId="3" xfId="1" applyFont="1" applyFill="1" applyBorder="1"/>
    <xf numFmtId="2" fontId="11" fillId="6" borderId="3" xfId="1" applyNumberFormat="1" applyFont="1" applyFill="1" applyBorder="1"/>
    <xf numFmtId="2" fontId="11" fillId="6" borderId="8" xfId="1" applyNumberFormat="1" applyFont="1" applyFill="1" applyBorder="1"/>
    <xf numFmtId="0" fontId="1" fillId="6" borderId="0" xfId="1" applyFill="1"/>
    <xf numFmtId="0" fontId="7" fillId="6" borderId="0" xfId="1" applyFont="1" applyFill="1"/>
    <xf numFmtId="0" fontId="8" fillId="6" borderId="3" xfId="1" applyFont="1" applyFill="1" applyBorder="1"/>
    <xf numFmtId="0" fontId="1" fillId="2" borderId="0" xfId="1" applyFill="1"/>
    <xf numFmtId="49" fontId="11" fillId="0" borderId="3" xfId="1" applyNumberFormat="1" applyFont="1" applyBorder="1"/>
    <xf numFmtId="49" fontId="11" fillId="0" borderId="3" xfId="1" applyNumberFormat="1" applyFont="1" applyBorder="1" applyAlignment="1">
      <alignment horizontal="center" vertical="center"/>
    </xf>
    <xf numFmtId="4" fontId="11" fillId="0" borderId="3" xfId="1" applyNumberFormat="1" applyFont="1" applyBorder="1"/>
    <xf numFmtId="0" fontId="11" fillId="0" borderId="3" xfId="1" applyFont="1" applyBorder="1"/>
    <xf numFmtId="2" fontId="11" fillId="0" borderId="3" xfId="1" applyNumberFormat="1" applyFont="1" applyBorder="1"/>
    <xf numFmtId="0" fontId="11" fillId="2" borderId="29" xfId="1" applyFont="1" applyFill="1" applyBorder="1"/>
    <xf numFmtId="4" fontId="14" fillId="2" borderId="3" xfId="1" applyNumberFormat="1" applyFont="1" applyFill="1" applyBorder="1" applyAlignment="1">
      <alignment horizontal="center" vertical="center"/>
    </xf>
    <xf numFmtId="4" fontId="11" fillId="2" borderId="3" xfId="1" applyNumberFormat="1" applyFont="1" applyFill="1" applyBorder="1"/>
    <xf numFmtId="0" fontId="11" fillId="2" borderId="3" xfId="1" applyFont="1" applyFill="1" applyBorder="1"/>
    <xf numFmtId="2" fontId="11" fillId="2" borderId="3" xfId="1" applyNumberFormat="1" applyFont="1" applyFill="1" applyBorder="1"/>
    <xf numFmtId="2" fontId="11" fillId="2" borderId="8" xfId="1" applyNumberFormat="1" applyFont="1" applyFill="1" applyBorder="1"/>
    <xf numFmtId="0" fontId="7" fillId="2" borderId="0" xfId="1" applyFont="1" applyFill="1"/>
    <xf numFmtId="49" fontId="11" fillId="7" borderId="3" xfId="1" applyNumberFormat="1" applyFont="1" applyFill="1" applyBorder="1"/>
    <xf numFmtId="49" fontId="11" fillId="7" borderId="3" xfId="1" applyNumberFormat="1" applyFont="1" applyFill="1" applyBorder="1" applyAlignment="1">
      <alignment horizontal="center" vertical="center"/>
    </xf>
    <xf numFmtId="49" fontId="11" fillId="7" borderId="4" xfId="1" applyNumberFormat="1" applyFont="1" applyFill="1" applyBorder="1" applyAlignment="1">
      <alignment horizontal="center" vertical="center"/>
    </xf>
    <xf numFmtId="49" fontId="12" fillId="7" borderId="9" xfId="1" applyNumberFormat="1" applyFont="1" applyFill="1" applyBorder="1" applyAlignment="1">
      <alignment horizontal="center" vertical="center"/>
    </xf>
    <xf numFmtId="4" fontId="12" fillId="7" borderId="29" xfId="1" applyNumberFormat="1" applyFont="1" applyFill="1" applyBorder="1" applyAlignment="1">
      <alignment horizontal="center" vertical="center"/>
    </xf>
    <xf numFmtId="4" fontId="13" fillId="7" borderId="10" xfId="1" applyNumberFormat="1" applyFont="1" applyFill="1" applyBorder="1" applyAlignment="1">
      <alignment horizontal="center" vertical="center"/>
    </xf>
    <xf numFmtId="0" fontId="11" fillId="7" borderId="3" xfId="1" applyFont="1" applyFill="1" applyBorder="1" applyAlignment="1">
      <alignment horizontal="center" vertical="center"/>
    </xf>
    <xf numFmtId="4" fontId="11" fillId="7" borderId="3" xfId="1" applyNumberFormat="1" applyFont="1" applyFill="1" applyBorder="1" applyAlignment="1">
      <alignment horizontal="center" vertical="center"/>
    </xf>
    <xf numFmtId="2" fontId="11" fillId="7" borderId="3" xfId="1" applyNumberFormat="1" applyFont="1" applyFill="1" applyBorder="1" applyAlignment="1">
      <alignment horizontal="center" vertical="center"/>
    </xf>
    <xf numFmtId="4" fontId="11" fillId="7" borderId="10" xfId="1" applyNumberFormat="1" applyFont="1" applyFill="1" applyBorder="1" applyAlignment="1">
      <alignment horizontal="center" vertical="center"/>
    </xf>
    <xf numFmtId="4" fontId="14" fillId="7" borderId="3" xfId="1" applyNumberFormat="1" applyFont="1" applyFill="1" applyBorder="1" applyAlignment="1">
      <alignment horizontal="center" vertical="center"/>
    </xf>
    <xf numFmtId="49" fontId="15" fillId="7" borderId="3" xfId="1" applyNumberFormat="1" applyFont="1" applyFill="1" applyBorder="1" applyAlignment="1">
      <alignment horizontal="center" vertical="center" wrapText="1"/>
    </xf>
    <xf numFmtId="4" fontId="11" fillId="7" borderId="3" xfId="1" applyNumberFormat="1" applyFont="1" applyFill="1" applyBorder="1"/>
    <xf numFmtId="0" fontId="11" fillId="7" borderId="3" xfId="1" applyFont="1" applyFill="1" applyBorder="1"/>
    <xf numFmtId="2" fontId="11" fillId="7" borderId="3" xfId="1" applyNumberFormat="1" applyFont="1" applyFill="1" applyBorder="1"/>
    <xf numFmtId="2" fontId="11" fillId="7" borderId="8" xfId="1" applyNumberFormat="1" applyFont="1" applyFill="1" applyBorder="1"/>
    <xf numFmtId="0" fontId="1" fillId="7" borderId="0" xfId="1" applyFill="1"/>
    <xf numFmtId="0" fontId="7" fillId="7" borderId="0" xfId="1" applyFont="1" applyFill="1"/>
    <xf numFmtId="14" fontId="16" fillId="7" borderId="3" xfId="1" applyNumberFormat="1" applyFont="1" applyFill="1" applyBorder="1"/>
    <xf numFmtId="0" fontId="11" fillId="2" borderId="16" xfId="1" applyFont="1" applyFill="1" applyBorder="1"/>
    <xf numFmtId="4" fontId="14" fillId="7" borderId="29" xfId="1" applyNumberFormat="1" applyFont="1" applyFill="1" applyBorder="1" applyAlignment="1">
      <alignment horizontal="center" vertical="center"/>
    </xf>
    <xf numFmtId="2" fontId="13" fillId="7" borderId="3" xfId="1" applyNumberFormat="1" applyFont="1" applyFill="1" applyBorder="1" applyAlignment="1">
      <alignment horizontal="center" vertical="center"/>
    </xf>
    <xf numFmtId="0" fontId="13" fillId="7" borderId="3" xfId="1" applyFont="1" applyFill="1" applyBorder="1" applyAlignment="1">
      <alignment horizontal="center" vertical="center"/>
    </xf>
    <xf numFmtId="4" fontId="14" fillId="2" borderId="29" xfId="1" applyNumberFormat="1" applyFont="1" applyFill="1" applyBorder="1" applyAlignment="1">
      <alignment horizontal="center" vertical="center"/>
    </xf>
    <xf numFmtId="2" fontId="13" fillId="2" borderId="3" xfId="1" applyNumberFormat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49" fontId="17" fillId="2" borderId="3" xfId="1" applyNumberFormat="1" applyFont="1" applyFill="1" applyBorder="1" applyAlignment="1">
      <alignment horizontal="center" vertical="center"/>
    </xf>
    <xf numFmtId="4" fontId="14" fillId="8" borderId="3" xfId="1" applyNumberFormat="1" applyFont="1" applyFill="1" applyBorder="1" applyAlignment="1">
      <alignment horizontal="center" vertical="center"/>
    </xf>
    <xf numFmtId="49" fontId="13" fillId="2" borderId="3" xfId="1" applyNumberFormat="1" applyFont="1" applyFill="1" applyBorder="1"/>
    <xf numFmtId="49" fontId="13" fillId="2" borderId="3" xfId="1" applyNumberFormat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4" fontId="12" fillId="3" borderId="29" xfId="1" applyNumberFormat="1" applyFont="1" applyFill="1" applyBorder="1" applyAlignment="1">
      <alignment horizontal="center" vertical="center"/>
    </xf>
    <xf numFmtId="4" fontId="14" fillId="3" borderId="29" xfId="1" applyNumberFormat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4" fontId="13" fillId="2" borderId="3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wrapText="1"/>
    </xf>
    <xf numFmtId="49" fontId="12" fillId="7" borderId="10" xfId="1" applyNumberFormat="1" applyFont="1" applyFill="1" applyBorder="1" applyAlignment="1">
      <alignment horizontal="center" vertical="center"/>
    </xf>
    <xf numFmtId="4" fontId="13" fillId="7" borderId="3" xfId="1" applyNumberFormat="1" applyFont="1" applyFill="1" applyBorder="1" applyAlignment="1">
      <alignment horizontal="center" vertical="center"/>
    </xf>
    <xf numFmtId="0" fontId="18" fillId="7" borderId="3" xfId="1" applyFont="1" applyFill="1" applyBorder="1"/>
    <xf numFmtId="49" fontId="11" fillId="9" borderId="3" xfId="1" applyNumberFormat="1" applyFont="1" applyFill="1" applyBorder="1"/>
    <xf numFmtId="49" fontId="11" fillId="9" borderId="3" xfId="1" applyNumberFormat="1" applyFont="1" applyFill="1" applyBorder="1" applyAlignment="1">
      <alignment horizontal="center" vertical="center"/>
    </xf>
    <xf numFmtId="49" fontId="12" fillId="9" borderId="10" xfId="1" applyNumberFormat="1" applyFont="1" applyFill="1" applyBorder="1" applyAlignment="1">
      <alignment horizontal="center" vertical="center"/>
    </xf>
    <xf numFmtId="4" fontId="12" fillId="9" borderId="29" xfId="1" applyNumberFormat="1" applyFont="1" applyFill="1" applyBorder="1" applyAlignment="1">
      <alignment horizontal="center" vertical="center"/>
    </xf>
    <xf numFmtId="4" fontId="13" fillId="9" borderId="3" xfId="1" applyNumberFormat="1" applyFont="1" applyFill="1" applyBorder="1" applyAlignment="1">
      <alignment horizontal="center" vertical="center"/>
    </xf>
    <xf numFmtId="0" fontId="11" fillId="9" borderId="3" xfId="1" applyFont="1" applyFill="1" applyBorder="1" applyAlignment="1">
      <alignment horizontal="center" vertical="center"/>
    </xf>
    <xf numFmtId="4" fontId="11" fillId="9" borderId="3" xfId="1" applyNumberFormat="1" applyFont="1" applyFill="1" applyBorder="1" applyAlignment="1">
      <alignment horizontal="center" vertical="center"/>
    </xf>
    <xf numFmtId="2" fontId="11" fillId="9" borderId="3" xfId="1" applyNumberFormat="1" applyFont="1" applyFill="1" applyBorder="1" applyAlignment="1">
      <alignment horizontal="center" vertical="center"/>
    </xf>
    <xf numFmtId="4" fontId="11" fillId="9" borderId="10" xfId="1" applyNumberFormat="1" applyFont="1" applyFill="1" applyBorder="1" applyAlignment="1">
      <alignment horizontal="center" vertical="center"/>
    </xf>
    <xf numFmtId="4" fontId="14" fillId="9" borderId="3" xfId="1" applyNumberFormat="1" applyFont="1" applyFill="1" applyBorder="1" applyAlignment="1">
      <alignment horizontal="center" vertical="center"/>
    </xf>
    <xf numFmtId="4" fontId="11" fillId="9" borderId="3" xfId="1" applyNumberFormat="1" applyFont="1" applyFill="1" applyBorder="1"/>
    <xf numFmtId="0" fontId="11" fillId="9" borderId="3" xfId="1" applyFont="1" applyFill="1" applyBorder="1"/>
    <xf numFmtId="2" fontId="11" fillId="9" borderId="3" xfId="1" applyNumberFormat="1" applyFont="1" applyFill="1" applyBorder="1"/>
    <xf numFmtId="0" fontId="1" fillId="9" borderId="0" xfId="1" applyFill="1"/>
    <xf numFmtId="0" fontId="7" fillId="9" borderId="0" xfId="1" applyFont="1" applyFill="1"/>
    <xf numFmtId="0" fontId="16" fillId="7" borderId="3" xfId="1" applyFont="1" applyFill="1" applyBorder="1"/>
    <xf numFmtId="49" fontId="11" fillId="2" borderId="7" xfId="1" applyNumberFormat="1" applyFont="1" applyFill="1" applyBorder="1"/>
    <xf numFmtId="49" fontId="11" fillId="2" borderId="7" xfId="1" applyNumberFormat="1" applyFont="1" applyFill="1" applyBorder="1" applyAlignment="1">
      <alignment horizontal="center" vertical="center"/>
    </xf>
    <xf numFmtId="49" fontId="12" fillId="2" borderId="28" xfId="1" applyNumberFormat="1" applyFont="1" applyFill="1" applyBorder="1" applyAlignment="1">
      <alignment horizontal="center" vertical="center"/>
    </xf>
    <xf numFmtId="4" fontId="12" fillId="2" borderId="6" xfId="1" applyNumberFormat="1" applyFont="1" applyFill="1" applyBorder="1" applyAlignment="1">
      <alignment horizontal="center" vertical="center"/>
    </xf>
    <xf numFmtId="0" fontId="19" fillId="2" borderId="18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2" fontId="11" fillId="2" borderId="7" xfId="1" applyNumberFormat="1" applyFont="1" applyFill="1" applyBorder="1" applyAlignment="1">
      <alignment horizontal="center" vertical="center"/>
    </xf>
    <xf numFmtId="4" fontId="11" fillId="2" borderId="28" xfId="1" applyNumberFormat="1" applyFont="1" applyFill="1" applyBorder="1" applyAlignment="1">
      <alignment horizontal="center" vertical="center"/>
    </xf>
    <xf numFmtId="4" fontId="14" fillId="2" borderId="7" xfId="1" applyNumberFormat="1" applyFont="1" applyFill="1" applyBorder="1" applyAlignment="1">
      <alignment horizontal="center" vertical="center"/>
    </xf>
    <xf numFmtId="0" fontId="1" fillId="2" borderId="3" xfId="1" applyFill="1" applyBorder="1"/>
    <xf numFmtId="0" fontId="1" fillId="2" borderId="3" xfId="1" applyFill="1" applyBorder="1" applyAlignment="1">
      <alignment horizontal="center" vertical="center"/>
    </xf>
    <xf numFmtId="2" fontId="1" fillId="2" borderId="3" xfId="1" applyNumberFormat="1" applyFill="1" applyBorder="1"/>
    <xf numFmtId="49" fontId="12" fillId="2" borderId="3" xfId="1" applyNumberFormat="1" applyFont="1" applyFill="1" applyBorder="1" applyAlignment="1">
      <alignment horizontal="center" vertical="center"/>
    </xf>
    <xf numFmtId="4" fontId="12" fillId="2" borderId="3" xfId="1" applyNumberFormat="1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18" xfId="1" applyFill="1" applyBorder="1"/>
    <xf numFmtId="2" fontId="1" fillId="2" borderId="0" xfId="1" applyNumberFormat="1" applyFill="1"/>
    <xf numFmtId="49" fontId="13" fillId="7" borderId="3" xfId="1" applyNumberFormat="1" applyFont="1" applyFill="1" applyBorder="1"/>
    <xf numFmtId="49" fontId="13" fillId="7" borderId="3" xfId="1" applyNumberFormat="1" applyFont="1" applyFill="1" applyBorder="1" applyAlignment="1">
      <alignment horizontal="center" vertical="center"/>
    </xf>
    <xf numFmtId="49" fontId="14" fillId="7" borderId="3" xfId="1" applyNumberFormat="1" applyFont="1" applyFill="1" applyBorder="1" applyAlignment="1">
      <alignment horizontal="center" vertical="center"/>
    </xf>
    <xf numFmtId="0" fontId="19" fillId="7" borderId="3" xfId="1" applyFont="1" applyFill="1" applyBorder="1" applyAlignment="1">
      <alignment horizontal="center" vertical="center"/>
    </xf>
    <xf numFmtId="0" fontId="20" fillId="7" borderId="3" xfId="1" applyFont="1" applyFill="1" applyBorder="1" applyAlignment="1">
      <alignment wrapText="1"/>
    </xf>
    <xf numFmtId="0" fontId="19" fillId="7" borderId="0" xfId="1" applyFont="1" applyFill="1"/>
    <xf numFmtId="0" fontId="19" fillId="7" borderId="0" xfId="1" applyFont="1" applyFill="1" applyAlignment="1">
      <alignment horizontal="center" vertical="center"/>
    </xf>
    <xf numFmtId="0" fontId="19" fillId="7" borderId="18" xfId="1" applyFont="1" applyFill="1" applyBorder="1"/>
    <xf numFmtId="2" fontId="19" fillId="7" borderId="0" xfId="1" applyNumberFormat="1" applyFont="1" applyFill="1"/>
    <xf numFmtId="14" fontId="18" fillId="7" borderId="3" xfId="1" applyNumberFormat="1" applyFont="1" applyFill="1" applyBorder="1"/>
    <xf numFmtId="0" fontId="19" fillId="2" borderId="0" xfId="1" applyFont="1" applyFill="1"/>
    <xf numFmtId="49" fontId="21" fillId="2" borderId="0" xfId="1" applyNumberFormat="1" applyFont="1" applyFill="1" applyAlignment="1">
      <alignment horizontal="center" vertical="center"/>
    </xf>
    <xf numFmtId="4" fontId="21" fillId="0" borderId="0" xfId="1" applyNumberFormat="1" applyFont="1" applyAlignment="1">
      <alignment horizontal="center" vertical="center"/>
    </xf>
    <xf numFmtId="4" fontId="1" fillId="2" borderId="0" xfId="1" applyNumberFormat="1" applyFill="1" applyAlignment="1">
      <alignment horizontal="center" vertical="center"/>
    </xf>
    <xf numFmtId="4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4" fontId="11" fillId="0" borderId="18" xfId="1" applyNumberFormat="1" applyFont="1" applyBorder="1"/>
    <xf numFmtId="2" fontId="1" fillId="0" borderId="0" xfId="1" applyNumberFormat="1"/>
    <xf numFmtId="0" fontId="8" fillId="0" borderId="0" xfId="1" applyFont="1"/>
    <xf numFmtId="0" fontId="21" fillId="2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0" xfId="1" applyFont="1"/>
    <xf numFmtId="0" fontId="23" fillId="2" borderId="0" xfId="1" applyFont="1" applyFill="1"/>
    <xf numFmtId="0" fontId="22" fillId="2" borderId="0" xfId="1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4" fontId="23" fillId="0" borderId="0" xfId="1" applyNumberFormat="1" applyFont="1" applyAlignment="1">
      <alignment horizontal="center" vertical="center"/>
    </xf>
    <xf numFmtId="4" fontId="24" fillId="2" borderId="0" xfId="1" applyNumberFormat="1" applyFont="1" applyFill="1" applyAlignment="1">
      <alignment horizontal="center" vertical="center"/>
    </xf>
    <xf numFmtId="4" fontId="5" fillId="2" borderId="0" xfId="1" applyNumberFormat="1" applyFont="1" applyFill="1" applyAlignment="1">
      <alignment horizontal="center" vertical="center"/>
    </xf>
    <xf numFmtId="4" fontId="4" fillId="2" borderId="0" xfId="1" applyNumberFormat="1" applyFont="1" applyFill="1" applyAlignment="1">
      <alignment horizontal="center" vertical="center"/>
    </xf>
    <xf numFmtId="4" fontId="22" fillId="2" borderId="0" xfId="1" applyNumberFormat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2" fontId="22" fillId="0" borderId="0" xfId="1" applyNumberFormat="1" applyFont="1"/>
    <xf numFmtId="0" fontId="25" fillId="0" borderId="0" xfId="1" applyFont="1"/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4" fontId="19" fillId="2" borderId="0" xfId="1" applyNumberFormat="1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4" fontId="12" fillId="10" borderId="29" xfId="1" applyNumberFormat="1" applyFont="1" applyFill="1" applyBorder="1" applyAlignment="1">
      <alignment horizontal="center" vertical="center"/>
    </xf>
    <xf numFmtId="49" fontId="14" fillId="2" borderId="3" xfId="1" applyNumberFormat="1" applyFont="1" applyFill="1" applyBorder="1" applyAlignment="1">
      <alignment horizontal="center" vertical="center"/>
    </xf>
    <xf numFmtId="4" fontId="14" fillId="3" borderId="3" xfId="1" applyNumberFormat="1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4" xfId="1" applyFont="1" applyFill="1" applyBorder="1"/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/>
    <xf numFmtId="0" fontId="4" fillId="0" borderId="10" xfId="1" applyFont="1" applyBorder="1"/>
    <xf numFmtId="0" fontId="8" fillId="0" borderId="3" xfId="1" applyFont="1" applyBorder="1" applyAlignment="1">
      <alignment horizontal="center" wrapText="1"/>
    </xf>
    <xf numFmtId="0" fontId="22" fillId="2" borderId="0" xfId="1" applyFont="1" applyFill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1" xfId="1" applyFont="1" applyBorder="1"/>
    <xf numFmtId="0" fontId="4" fillId="0" borderId="19" xfId="1" applyFont="1" applyBorder="1"/>
    <xf numFmtId="0" fontId="11" fillId="0" borderId="29" xfId="1" applyFont="1" applyBorder="1"/>
    <xf numFmtId="0" fontId="11" fillId="6" borderId="16" xfId="1" applyFont="1" applyFill="1" applyBorder="1"/>
    <xf numFmtId="0" fontId="11" fillId="0" borderId="16" xfId="1" applyFont="1" applyBorder="1"/>
    <xf numFmtId="0" fontId="11" fillId="7" borderId="29" xfId="1" applyFont="1" applyFill="1" applyBorder="1"/>
    <xf numFmtId="0" fontId="11" fillId="7" borderId="16" xfId="1" applyFont="1" applyFill="1" applyBorder="1"/>
  </cellXfs>
  <cellStyles count="2">
    <cellStyle name="Обычный" xfId="0" builtinId="0"/>
    <cellStyle name="Обычный_новый расчет ГУЖА и бухгалтерии 2015год" xfId="1" xr:uid="{93F5CB45-0388-41C5-BD75-0A85F7034D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05666-F915-46CC-B269-B00AB249D526}">
  <dimension ref="A1:AH262"/>
  <sheetViews>
    <sheetView topLeftCell="A229" zoomScaleNormal="100" workbookViewId="0">
      <selection activeCell="AH252" sqref="AH252"/>
    </sheetView>
  </sheetViews>
  <sheetFormatPr defaultRowHeight="18.75" x14ac:dyDescent="0.3"/>
  <cols>
    <col min="1" max="1" width="5.140625" style="7" customWidth="1"/>
    <col min="2" max="2" width="27.85546875" style="69" customWidth="1"/>
    <col min="3" max="3" width="46.140625" style="69" customWidth="1"/>
    <col min="4" max="4" width="7.7109375" style="152" customWidth="1"/>
    <col min="5" max="5" width="5.85546875" style="152" customWidth="1"/>
    <col min="6" max="6" width="5.42578125" style="152" customWidth="1"/>
    <col min="7" max="7" width="9.7109375" style="174" customWidth="1"/>
    <col min="8" max="8" width="13.28515625" style="175" hidden="1" customWidth="1"/>
    <col min="9" max="9" width="10.5703125" style="192" hidden="1" customWidth="1"/>
    <col min="10" max="11" width="12.7109375" style="152" hidden="1" customWidth="1"/>
    <col min="12" max="12" width="11.7109375" style="152" hidden="1" customWidth="1"/>
    <col min="13" max="13" width="10.140625" style="152" hidden="1" customWidth="1"/>
    <col min="14" max="14" width="0.140625" style="152" hidden="1" customWidth="1"/>
    <col min="15" max="15" width="11.7109375" style="152" hidden="1" customWidth="1"/>
    <col min="16" max="16" width="10.5703125" style="191" hidden="1" customWidth="1"/>
    <col min="17" max="17" width="10" style="152" hidden="1" customWidth="1"/>
    <col min="18" max="18" width="9.85546875" style="152" hidden="1" customWidth="1"/>
    <col min="19" max="19" width="12.7109375" style="152" hidden="1" customWidth="1"/>
    <col min="20" max="20" width="8.42578125" style="152" hidden="1" customWidth="1"/>
    <col min="21" max="21" width="19" style="7" hidden="1" customWidth="1"/>
    <col min="22" max="22" width="9.140625" style="170" hidden="1" customWidth="1"/>
    <col min="23" max="23" width="8.5703125" style="170" hidden="1" customWidth="1"/>
    <col min="24" max="24" width="9.28515625" style="7" hidden="1" customWidth="1"/>
    <col min="25" max="25" width="11.85546875" style="7" hidden="1" customWidth="1"/>
    <col min="26" max="26" width="11.42578125" style="7" hidden="1" customWidth="1"/>
    <col min="27" max="27" width="9.140625" style="7" hidden="1" customWidth="1"/>
    <col min="28" max="28" width="14" style="7" hidden="1" customWidth="1"/>
    <col min="29" max="29" width="11" style="7" hidden="1" customWidth="1"/>
    <col min="30" max="30" width="15.28515625" style="172" hidden="1" customWidth="1"/>
    <col min="31" max="32" width="0" style="7" hidden="1" customWidth="1"/>
    <col min="33" max="33" width="0" style="15" hidden="1" customWidth="1"/>
    <col min="34" max="34" width="43.42578125" style="173" customWidth="1"/>
    <col min="35" max="93" width="9.140625" style="7"/>
    <col min="94" max="94" width="4" style="7" customWidth="1"/>
    <col min="95" max="95" width="0" style="7" hidden="1" customWidth="1"/>
    <col min="96" max="96" width="39.42578125" style="7" customWidth="1"/>
    <col min="97" max="97" width="7.7109375" style="7" customWidth="1"/>
    <col min="98" max="98" width="5.85546875" style="7" customWidth="1"/>
    <col min="99" max="99" width="5.42578125" style="7" customWidth="1"/>
    <col min="100" max="104" width="0" style="7" hidden="1" customWidth="1"/>
    <col min="105" max="105" width="11.85546875" style="7" customWidth="1"/>
    <col min="106" max="106" width="10.5703125" style="7" customWidth="1"/>
    <col min="107" max="107" width="12.7109375" style="7" customWidth="1"/>
    <col min="108" max="108" width="11.7109375" style="7" customWidth="1"/>
    <col min="109" max="109" width="10.140625" style="7" customWidth="1"/>
    <col min="110" max="110" width="0.140625" style="7" customWidth="1"/>
    <col min="111" max="111" width="11.7109375" style="7" customWidth="1"/>
    <col min="112" max="112" width="10.5703125" style="7" customWidth="1"/>
    <col min="113" max="113" width="10" style="7" customWidth="1"/>
    <col min="114" max="114" width="9.85546875" style="7" customWidth="1"/>
    <col min="115" max="115" width="12.7109375" style="7" customWidth="1"/>
    <col min="116" max="116" width="8.42578125" style="7" customWidth="1"/>
    <col min="117" max="129" width="0" style="7" hidden="1" customWidth="1"/>
    <col min="130" max="130" width="10.5703125" style="7" customWidth="1"/>
    <col min="131" max="349" width="9.140625" style="7"/>
    <col min="350" max="350" width="4" style="7" customWidth="1"/>
    <col min="351" max="351" width="0" style="7" hidden="1" customWidth="1"/>
    <col min="352" max="352" width="39.42578125" style="7" customWidth="1"/>
    <col min="353" max="353" width="7.7109375" style="7" customWidth="1"/>
    <col min="354" max="354" width="5.85546875" style="7" customWidth="1"/>
    <col min="355" max="355" width="5.42578125" style="7" customWidth="1"/>
    <col min="356" max="360" width="0" style="7" hidden="1" customWidth="1"/>
    <col min="361" max="361" width="11.85546875" style="7" customWidth="1"/>
    <col min="362" max="362" width="10.5703125" style="7" customWidth="1"/>
    <col min="363" max="363" width="12.7109375" style="7" customWidth="1"/>
    <col min="364" max="364" width="11.7109375" style="7" customWidth="1"/>
    <col min="365" max="365" width="10.140625" style="7" customWidth="1"/>
    <col min="366" max="366" width="0.140625" style="7" customWidth="1"/>
    <col min="367" max="367" width="11.7109375" style="7" customWidth="1"/>
    <col min="368" max="368" width="10.5703125" style="7" customWidth="1"/>
    <col min="369" max="369" width="10" style="7" customWidth="1"/>
    <col min="370" max="370" width="9.85546875" style="7" customWidth="1"/>
    <col min="371" max="371" width="12.7109375" style="7" customWidth="1"/>
    <col min="372" max="372" width="8.42578125" style="7" customWidth="1"/>
    <col min="373" max="385" width="0" style="7" hidden="1" customWidth="1"/>
    <col min="386" max="386" width="10.5703125" style="7" customWidth="1"/>
    <col min="387" max="605" width="9.140625" style="7"/>
    <col min="606" max="606" width="4" style="7" customWidth="1"/>
    <col min="607" max="607" width="0" style="7" hidden="1" customWidth="1"/>
    <col min="608" max="608" width="39.42578125" style="7" customWidth="1"/>
    <col min="609" max="609" width="7.7109375" style="7" customWidth="1"/>
    <col min="610" max="610" width="5.85546875" style="7" customWidth="1"/>
    <col min="611" max="611" width="5.42578125" style="7" customWidth="1"/>
    <col min="612" max="616" width="0" style="7" hidden="1" customWidth="1"/>
    <col min="617" max="617" width="11.85546875" style="7" customWidth="1"/>
    <col min="618" max="618" width="10.5703125" style="7" customWidth="1"/>
    <col min="619" max="619" width="12.7109375" style="7" customWidth="1"/>
    <col min="620" max="620" width="11.7109375" style="7" customWidth="1"/>
    <col min="621" max="621" width="10.140625" style="7" customWidth="1"/>
    <col min="622" max="622" width="0.140625" style="7" customWidth="1"/>
    <col min="623" max="623" width="11.7109375" style="7" customWidth="1"/>
    <col min="624" max="624" width="10.5703125" style="7" customWidth="1"/>
    <col min="625" max="625" width="10" style="7" customWidth="1"/>
    <col min="626" max="626" width="9.85546875" style="7" customWidth="1"/>
    <col min="627" max="627" width="12.7109375" style="7" customWidth="1"/>
    <col min="628" max="628" width="8.42578125" style="7" customWidth="1"/>
    <col min="629" max="641" width="0" style="7" hidden="1" customWidth="1"/>
    <col min="642" max="642" width="10.5703125" style="7" customWidth="1"/>
    <col min="643" max="861" width="9.140625" style="7"/>
    <col min="862" max="862" width="4" style="7" customWidth="1"/>
    <col min="863" max="863" width="0" style="7" hidden="1" customWidth="1"/>
    <col min="864" max="864" width="39.42578125" style="7" customWidth="1"/>
    <col min="865" max="865" width="7.7109375" style="7" customWidth="1"/>
    <col min="866" max="866" width="5.85546875" style="7" customWidth="1"/>
    <col min="867" max="867" width="5.42578125" style="7" customWidth="1"/>
    <col min="868" max="872" width="0" style="7" hidden="1" customWidth="1"/>
    <col min="873" max="873" width="11.85546875" style="7" customWidth="1"/>
    <col min="874" max="874" width="10.5703125" style="7" customWidth="1"/>
    <col min="875" max="875" width="12.7109375" style="7" customWidth="1"/>
    <col min="876" max="876" width="11.7109375" style="7" customWidth="1"/>
    <col min="877" max="877" width="10.140625" style="7" customWidth="1"/>
    <col min="878" max="878" width="0.140625" style="7" customWidth="1"/>
    <col min="879" max="879" width="11.7109375" style="7" customWidth="1"/>
    <col min="880" max="880" width="10.5703125" style="7" customWidth="1"/>
    <col min="881" max="881" width="10" style="7" customWidth="1"/>
    <col min="882" max="882" width="9.85546875" style="7" customWidth="1"/>
    <col min="883" max="883" width="12.7109375" style="7" customWidth="1"/>
    <col min="884" max="884" width="8.42578125" style="7" customWidth="1"/>
    <col min="885" max="897" width="0" style="7" hidden="1" customWidth="1"/>
    <col min="898" max="898" width="10.5703125" style="7" customWidth="1"/>
    <col min="899" max="1117" width="9.140625" style="7"/>
    <col min="1118" max="1118" width="4" style="7" customWidth="1"/>
    <col min="1119" max="1119" width="0" style="7" hidden="1" customWidth="1"/>
    <col min="1120" max="1120" width="39.42578125" style="7" customWidth="1"/>
    <col min="1121" max="1121" width="7.7109375" style="7" customWidth="1"/>
    <col min="1122" max="1122" width="5.85546875" style="7" customWidth="1"/>
    <col min="1123" max="1123" width="5.42578125" style="7" customWidth="1"/>
    <col min="1124" max="1128" width="0" style="7" hidden="1" customWidth="1"/>
    <col min="1129" max="1129" width="11.85546875" style="7" customWidth="1"/>
    <col min="1130" max="1130" width="10.5703125" style="7" customWidth="1"/>
    <col min="1131" max="1131" width="12.7109375" style="7" customWidth="1"/>
    <col min="1132" max="1132" width="11.7109375" style="7" customWidth="1"/>
    <col min="1133" max="1133" width="10.140625" style="7" customWidth="1"/>
    <col min="1134" max="1134" width="0.140625" style="7" customWidth="1"/>
    <col min="1135" max="1135" width="11.7109375" style="7" customWidth="1"/>
    <col min="1136" max="1136" width="10.5703125" style="7" customWidth="1"/>
    <col min="1137" max="1137" width="10" style="7" customWidth="1"/>
    <col min="1138" max="1138" width="9.85546875" style="7" customWidth="1"/>
    <col min="1139" max="1139" width="12.7109375" style="7" customWidth="1"/>
    <col min="1140" max="1140" width="8.42578125" style="7" customWidth="1"/>
    <col min="1141" max="1153" width="0" style="7" hidden="1" customWidth="1"/>
    <col min="1154" max="1154" width="10.5703125" style="7" customWidth="1"/>
    <col min="1155" max="1373" width="9.140625" style="7"/>
    <col min="1374" max="1374" width="4" style="7" customWidth="1"/>
    <col min="1375" max="1375" width="0" style="7" hidden="1" customWidth="1"/>
    <col min="1376" max="1376" width="39.42578125" style="7" customWidth="1"/>
    <col min="1377" max="1377" width="7.7109375" style="7" customWidth="1"/>
    <col min="1378" max="1378" width="5.85546875" style="7" customWidth="1"/>
    <col min="1379" max="1379" width="5.42578125" style="7" customWidth="1"/>
    <col min="1380" max="1384" width="0" style="7" hidden="1" customWidth="1"/>
    <col min="1385" max="1385" width="11.85546875" style="7" customWidth="1"/>
    <col min="1386" max="1386" width="10.5703125" style="7" customWidth="1"/>
    <col min="1387" max="1387" width="12.7109375" style="7" customWidth="1"/>
    <col min="1388" max="1388" width="11.7109375" style="7" customWidth="1"/>
    <col min="1389" max="1389" width="10.140625" style="7" customWidth="1"/>
    <col min="1390" max="1390" width="0.140625" style="7" customWidth="1"/>
    <col min="1391" max="1391" width="11.7109375" style="7" customWidth="1"/>
    <col min="1392" max="1392" width="10.5703125" style="7" customWidth="1"/>
    <col min="1393" max="1393" width="10" style="7" customWidth="1"/>
    <col min="1394" max="1394" width="9.85546875" style="7" customWidth="1"/>
    <col min="1395" max="1395" width="12.7109375" style="7" customWidth="1"/>
    <col min="1396" max="1396" width="8.42578125" style="7" customWidth="1"/>
    <col min="1397" max="1409" width="0" style="7" hidden="1" customWidth="1"/>
    <col min="1410" max="1410" width="10.5703125" style="7" customWidth="1"/>
    <col min="1411" max="1629" width="9.140625" style="7"/>
    <col min="1630" max="1630" width="4" style="7" customWidth="1"/>
    <col min="1631" max="1631" width="0" style="7" hidden="1" customWidth="1"/>
    <col min="1632" max="1632" width="39.42578125" style="7" customWidth="1"/>
    <col min="1633" max="1633" width="7.7109375" style="7" customWidth="1"/>
    <col min="1634" max="1634" width="5.85546875" style="7" customWidth="1"/>
    <col min="1635" max="1635" width="5.42578125" style="7" customWidth="1"/>
    <col min="1636" max="1640" width="0" style="7" hidden="1" customWidth="1"/>
    <col min="1641" max="1641" width="11.85546875" style="7" customWidth="1"/>
    <col min="1642" max="1642" width="10.5703125" style="7" customWidth="1"/>
    <col min="1643" max="1643" width="12.7109375" style="7" customWidth="1"/>
    <col min="1644" max="1644" width="11.7109375" style="7" customWidth="1"/>
    <col min="1645" max="1645" width="10.140625" style="7" customWidth="1"/>
    <col min="1646" max="1646" width="0.140625" style="7" customWidth="1"/>
    <col min="1647" max="1647" width="11.7109375" style="7" customWidth="1"/>
    <col min="1648" max="1648" width="10.5703125" style="7" customWidth="1"/>
    <col min="1649" max="1649" width="10" style="7" customWidth="1"/>
    <col min="1650" max="1650" width="9.85546875" style="7" customWidth="1"/>
    <col min="1651" max="1651" width="12.7109375" style="7" customWidth="1"/>
    <col min="1652" max="1652" width="8.42578125" style="7" customWidth="1"/>
    <col min="1653" max="1665" width="0" style="7" hidden="1" customWidth="1"/>
    <col min="1666" max="1666" width="10.5703125" style="7" customWidth="1"/>
    <col min="1667" max="1885" width="9.140625" style="7"/>
    <col min="1886" max="1886" width="4" style="7" customWidth="1"/>
    <col min="1887" max="1887" width="0" style="7" hidden="1" customWidth="1"/>
    <col min="1888" max="1888" width="39.42578125" style="7" customWidth="1"/>
    <col min="1889" max="1889" width="7.7109375" style="7" customWidth="1"/>
    <col min="1890" max="1890" width="5.85546875" style="7" customWidth="1"/>
    <col min="1891" max="1891" width="5.42578125" style="7" customWidth="1"/>
    <col min="1892" max="1896" width="0" style="7" hidden="1" customWidth="1"/>
    <col min="1897" max="1897" width="11.85546875" style="7" customWidth="1"/>
    <col min="1898" max="1898" width="10.5703125" style="7" customWidth="1"/>
    <col min="1899" max="1899" width="12.7109375" style="7" customWidth="1"/>
    <col min="1900" max="1900" width="11.7109375" style="7" customWidth="1"/>
    <col min="1901" max="1901" width="10.140625" style="7" customWidth="1"/>
    <col min="1902" max="1902" width="0.140625" style="7" customWidth="1"/>
    <col min="1903" max="1903" width="11.7109375" style="7" customWidth="1"/>
    <col min="1904" max="1904" width="10.5703125" style="7" customWidth="1"/>
    <col min="1905" max="1905" width="10" style="7" customWidth="1"/>
    <col min="1906" max="1906" width="9.85546875" style="7" customWidth="1"/>
    <col min="1907" max="1907" width="12.7109375" style="7" customWidth="1"/>
    <col min="1908" max="1908" width="8.42578125" style="7" customWidth="1"/>
    <col min="1909" max="1921" width="0" style="7" hidden="1" customWidth="1"/>
    <col min="1922" max="1922" width="10.5703125" style="7" customWidth="1"/>
    <col min="1923" max="2141" width="9.140625" style="7"/>
    <col min="2142" max="2142" width="4" style="7" customWidth="1"/>
    <col min="2143" max="2143" width="0" style="7" hidden="1" customWidth="1"/>
    <col min="2144" max="2144" width="39.42578125" style="7" customWidth="1"/>
    <col min="2145" max="2145" width="7.7109375" style="7" customWidth="1"/>
    <col min="2146" max="2146" width="5.85546875" style="7" customWidth="1"/>
    <col min="2147" max="2147" width="5.42578125" style="7" customWidth="1"/>
    <col min="2148" max="2152" width="0" style="7" hidden="1" customWidth="1"/>
    <col min="2153" max="2153" width="11.85546875" style="7" customWidth="1"/>
    <col min="2154" max="2154" width="10.5703125" style="7" customWidth="1"/>
    <col min="2155" max="2155" width="12.7109375" style="7" customWidth="1"/>
    <col min="2156" max="2156" width="11.7109375" style="7" customWidth="1"/>
    <col min="2157" max="2157" width="10.140625" style="7" customWidth="1"/>
    <col min="2158" max="2158" width="0.140625" style="7" customWidth="1"/>
    <col min="2159" max="2159" width="11.7109375" style="7" customWidth="1"/>
    <col min="2160" max="2160" width="10.5703125" style="7" customWidth="1"/>
    <col min="2161" max="2161" width="10" style="7" customWidth="1"/>
    <col min="2162" max="2162" width="9.85546875" style="7" customWidth="1"/>
    <col min="2163" max="2163" width="12.7109375" style="7" customWidth="1"/>
    <col min="2164" max="2164" width="8.42578125" style="7" customWidth="1"/>
    <col min="2165" max="2177" width="0" style="7" hidden="1" customWidth="1"/>
    <col min="2178" max="2178" width="10.5703125" style="7" customWidth="1"/>
    <col min="2179" max="2397" width="9.140625" style="7"/>
    <col min="2398" max="2398" width="4" style="7" customWidth="1"/>
    <col min="2399" max="2399" width="0" style="7" hidden="1" customWidth="1"/>
    <col min="2400" max="2400" width="39.42578125" style="7" customWidth="1"/>
    <col min="2401" max="2401" width="7.7109375" style="7" customWidth="1"/>
    <col min="2402" max="2402" width="5.85546875" style="7" customWidth="1"/>
    <col min="2403" max="2403" width="5.42578125" style="7" customWidth="1"/>
    <col min="2404" max="2408" width="0" style="7" hidden="1" customWidth="1"/>
    <col min="2409" max="2409" width="11.85546875" style="7" customWidth="1"/>
    <col min="2410" max="2410" width="10.5703125" style="7" customWidth="1"/>
    <col min="2411" max="2411" width="12.7109375" style="7" customWidth="1"/>
    <col min="2412" max="2412" width="11.7109375" style="7" customWidth="1"/>
    <col min="2413" max="2413" width="10.140625" style="7" customWidth="1"/>
    <col min="2414" max="2414" width="0.140625" style="7" customWidth="1"/>
    <col min="2415" max="2415" width="11.7109375" style="7" customWidth="1"/>
    <col min="2416" max="2416" width="10.5703125" style="7" customWidth="1"/>
    <col min="2417" max="2417" width="10" style="7" customWidth="1"/>
    <col min="2418" max="2418" width="9.85546875" style="7" customWidth="1"/>
    <col min="2419" max="2419" width="12.7109375" style="7" customWidth="1"/>
    <col min="2420" max="2420" width="8.42578125" style="7" customWidth="1"/>
    <col min="2421" max="2433" width="0" style="7" hidden="1" customWidth="1"/>
    <col min="2434" max="2434" width="10.5703125" style="7" customWidth="1"/>
    <col min="2435" max="2653" width="9.140625" style="7"/>
    <col min="2654" max="2654" width="4" style="7" customWidth="1"/>
    <col min="2655" max="2655" width="0" style="7" hidden="1" customWidth="1"/>
    <col min="2656" max="2656" width="39.42578125" style="7" customWidth="1"/>
    <col min="2657" max="2657" width="7.7109375" style="7" customWidth="1"/>
    <col min="2658" max="2658" width="5.85546875" style="7" customWidth="1"/>
    <col min="2659" max="2659" width="5.42578125" style="7" customWidth="1"/>
    <col min="2660" max="2664" width="0" style="7" hidden="1" customWidth="1"/>
    <col min="2665" max="2665" width="11.85546875" style="7" customWidth="1"/>
    <col min="2666" max="2666" width="10.5703125" style="7" customWidth="1"/>
    <col min="2667" max="2667" width="12.7109375" style="7" customWidth="1"/>
    <col min="2668" max="2668" width="11.7109375" style="7" customWidth="1"/>
    <col min="2669" max="2669" width="10.140625" style="7" customWidth="1"/>
    <col min="2670" max="2670" width="0.140625" style="7" customWidth="1"/>
    <col min="2671" max="2671" width="11.7109375" style="7" customWidth="1"/>
    <col min="2672" max="2672" width="10.5703125" style="7" customWidth="1"/>
    <col min="2673" max="2673" width="10" style="7" customWidth="1"/>
    <col min="2674" max="2674" width="9.85546875" style="7" customWidth="1"/>
    <col min="2675" max="2675" width="12.7109375" style="7" customWidth="1"/>
    <col min="2676" max="2676" width="8.42578125" style="7" customWidth="1"/>
    <col min="2677" max="2689" width="0" style="7" hidden="1" customWidth="1"/>
    <col min="2690" max="2690" width="10.5703125" style="7" customWidth="1"/>
    <col min="2691" max="2909" width="9.140625" style="7"/>
    <col min="2910" max="2910" width="4" style="7" customWidth="1"/>
    <col min="2911" max="2911" width="0" style="7" hidden="1" customWidth="1"/>
    <col min="2912" max="2912" width="39.42578125" style="7" customWidth="1"/>
    <col min="2913" max="2913" width="7.7109375" style="7" customWidth="1"/>
    <col min="2914" max="2914" width="5.85546875" style="7" customWidth="1"/>
    <col min="2915" max="2915" width="5.42578125" style="7" customWidth="1"/>
    <col min="2916" max="2920" width="0" style="7" hidden="1" customWidth="1"/>
    <col min="2921" max="2921" width="11.85546875" style="7" customWidth="1"/>
    <col min="2922" max="2922" width="10.5703125" style="7" customWidth="1"/>
    <col min="2923" max="2923" width="12.7109375" style="7" customWidth="1"/>
    <col min="2924" max="2924" width="11.7109375" style="7" customWidth="1"/>
    <col min="2925" max="2925" width="10.140625" style="7" customWidth="1"/>
    <col min="2926" max="2926" width="0.140625" style="7" customWidth="1"/>
    <col min="2927" max="2927" width="11.7109375" style="7" customWidth="1"/>
    <col min="2928" max="2928" width="10.5703125" style="7" customWidth="1"/>
    <col min="2929" max="2929" width="10" style="7" customWidth="1"/>
    <col min="2930" max="2930" width="9.85546875" style="7" customWidth="1"/>
    <col min="2931" max="2931" width="12.7109375" style="7" customWidth="1"/>
    <col min="2932" max="2932" width="8.42578125" style="7" customWidth="1"/>
    <col min="2933" max="2945" width="0" style="7" hidden="1" customWidth="1"/>
    <col min="2946" max="2946" width="10.5703125" style="7" customWidth="1"/>
    <col min="2947" max="3165" width="9.140625" style="7"/>
    <col min="3166" max="3166" width="4" style="7" customWidth="1"/>
    <col min="3167" max="3167" width="0" style="7" hidden="1" customWidth="1"/>
    <col min="3168" max="3168" width="39.42578125" style="7" customWidth="1"/>
    <col min="3169" max="3169" width="7.7109375" style="7" customWidth="1"/>
    <col min="3170" max="3170" width="5.85546875" style="7" customWidth="1"/>
    <col min="3171" max="3171" width="5.42578125" style="7" customWidth="1"/>
    <col min="3172" max="3176" width="0" style="7" hidden="1" customWidth="1"/>
    <col min="3177" max="3177" width="11.85546875" style="7" customWidth="1"/>
    <col min="3178" max="3178" width="10.5703125" style="7" customWidth="1"/>
    <col min="3179" max="3179" width="12.7109375" style="7" customWidth="1"/>
    <col min="3180" max="3180" width="11.7109375" style="7" customWidth="1"/>
    <col min="3181" max="3181" width="10.140625" style="7" customWidth="1"/>
    <col min="3182" max="3182" width="0.140625" style="7" customWidth="1"/>
    <col min="3183" max="3183" width="11.7109375" style="7" customWidth="1"/>
    <col min="3184" max="3184" width="10.5703125" style="7" customWidth="1"/>
    <col min="3185" max="3185" width="10" style="7" customWidth="1"/>
    <col min="3186" max="3186" width="9.85546875" style="7" customWidth="1"/>
    <col min="3187" max="3187" width="12.7109375" style="7" customWidth="1"/>
    <col min="3188" max="3188" width="8.42578125" style="7" customWidth="1"/>
    <col min="3189" max="3201" width="0" style="7" hidden="1" customWidth="1"/>
    <col min="3202" max="3202" width="10.5703125" style="7" customWidth="1"/>
    <col min="3203" max="3421" width="9.140625" style="7"/>
    <col min="3422" max="3422" width="4" style="7" customWidth="1"/>
    <col min="3423" max="3423" width="0" style="7" hidden="1" customWidth="1"/>
    <col min="3424" max="3424" width="39.42578125" style="7" customWidth="1"/>
    <col min="3425" max="3425" width="7.7109375" style="7" customWidth="1"/>
    <col min="3426" max="3426" width="5.85546875" style="7" customWidth="1"/>
    <col min="3427" max="3427" width="5.42578125" style="7" customWidth="1"/>
    <col min="3428" max="3432" width="0" style="7" hidden="1" customWidth="1"/>
    <col min="3433" max="3433" width="11.85546875" style="7" customWidth="1"/>
    <col min="3434" max="3434" width="10.5703125" style="7" customWidth="1"/>
    <col min="3435" max="3435" width="12.7109375" style="7" customWidth="1"/>
    <col min="3436" max="3436" width="11.7109375" style="7" customWidth="1"/>
    <col min="3437" max="3437" width="10.140625" style="7" customWidth="1"/>
    <col min="3438" max="3438" width="0.140625" style="7" customWidth="1"/>
    <col min="3439" max="3439" width="11.7109375" style="7" customWidth="1"/>
    <col min="3440" max="3440" width="10.5703125" style="7" customWidth="1"/>
    <col min="3441" max="3441" width="10" style="7" customWidth="1"/>
    <col min="3442" max="3442" width="9.85546875" style="7" customWidth="1"/>
    <col min="3443" max="3443" width="12.7109375" style="7" customWidth="1"/>
    <col min="3444" max="3444" width="8.42578125" style="7" customWidth="1"/>
    <col min="3445" max="3457" width="0" style="7" hidden="1" customWidth="1"/>
    <col min="3458" max="3458" width="10.5703125" style="7" customWidth="1"/>
    <col min="3459" max="3677" width="9.140625" style="7"/>
    <col min="3678" max="3678" width="4" style="7" customWidth="1"/>
    <col min="3679" max="3679" width="0" style="7" hidden="1" customWidth="1"/>
    <col min="3680" max="3680" width="39.42578125" style="7" customWidth="1"/>
    <col min="3681" max="3681" width="7.7109375" style="7" customWidth="1"/>
    <col min="3682" max="3682" width="5.85546875" style="7" customWidth="1"/>
    <col min="3683" max="3683" width="5.42578125" style="7" customWidth="1"/>
    <col min="3684" max="3688" width="0" style="7" hidden="1" customWidth="1"/>
    <col min="3689" max="3689" width="11.85546875" style="7" customWidth="1"/>
    <col min="3690" max="3690" width="10.5703125" style="7" customWidth="1"/>
    <col min="3691" max="3691" width="12.7109375" style="7" customWidth="1"/>
    <col min="3692" max="3692" width="11.7109375" style="7" customWidth="1"/>
    <col min="3693" max="3693" width="10.140625" style="7" customWidth="1"/>
    <col min="3694" max="3694" width="0.140625" style="7" customWidth="1"/>
    <col min="3695" max="3695" width="11.7109375" style="7" customWidth="1"/>
    <col min="3696" max="3696" width="10.5703125" style="7" customWidth="1"/>
    <col min="3697" max="3697" width="10" style="7" customWidth="1"/>
    <col min="3698" max="3698" width="9.85546875" style="7" customWidth="1"/>
    <col min="3699" max="3699" width="12.7109375" style="7" customWidth="1"/>
    <col min="3700" max="3700" width="8.42578125" style="7" customWidth="1"/>
    <col min="3701" max="3713" width="0" style="7" hidden="1" customWidth="1"/>
    <col min="3714" max="3714" width="10.5703125" style="7" customWidth="1"/>
    <col min="3715" max="3933" width="9.140625" style="7"/>
    <col min="3934" max="3934" width="4" style="7" customWidth="1"/>
    <col min="3935" max="3935" width="0" style="7" hidden="1" customWidth="1"/>
    <col min="3936" max="3936" width="39.42578125" style="7" customWidth="1"/>
    <col min="3937" max="3937" width="7.7109375" style="7" customWidth="1"/>
    <col min="3938" max="3938" width="5.85546875" style="7" customWidth="1"/>
    <col min="3939" max="3939" width="5.42578125" style="7" customWidth="1"/>
    <col min="3940" max="3944" width="0" style="7" hidden="1" customWidth="1"/>
    <col min="3945" max="3945" width="11.85546875" style="7" customWidth="1"/>
    <col min="3946" max="3946" width="10.5703125" style="7" customWidth="1"/>
    <col min="3947" max="3947" width="12.7109375" style="7" customWidth="1"/>
    <col min="3948" max="3948" width="11.7109375" style="7" customWidth="1"/>
    <col min="3949" max="3949" width="10.140625" style="7" customWidth="1"/>
    <col min="3950" max="3950" width="0.140625" style="7" customWidth="1"/>
    <col min="3951" max="3951" width="11.7109375" style="7" customWidth="1"/>
    <col min="3952" max="3952" width="10.5703125" style="7" customWidth="1"/>
    <col min="3953" max="3953" width="10" style="7" customWidth="1"/>
    <col min="3954" max="3954" width="9.85546875" style="7" customWidth="1"/>
    <col min="3955" max="3955" width="12.7109375" style="7" customWidth="1"/>
    <col min="3956" max="3956" width="8.42578125" style="7" customWidth="1"/>
    <col min="3957" max="3969" width="0" style="7" hidden="1" customWidth="1"/>
    <col min="3970" max="3970" width="10.5703125" style="7" customWidth="1"/>
    <col min="3971" max="4189" width="9.140625" style="7"/>
    <col min="4190" max="4190" width="4" style="7" customWidth="1"/>
    <col min="4191" max="4191" width="0" style="7" hidden="1" customWidth="1"/>
    <col min="4192" max="4192" width="39.42578125" style="7" customWidth="1"/>
    <col min="4193" max="4193" width="7.7109375" style="7" customWidth="1"/>
    <col min="4194" max="4194" width="5.85546875" style="7" customWidth="1"/>
    <col min="4195" max="4195" width="5.42578125" style="7" customWidth="1"/>
    <col min="4196" max="4200" width="0" style="7" hidden="1" customWidth="1"/>
    <col min="4201" max="4201" width="11.85546875" style="7" customWidth="1"/>
    <col min="4202" max="4202" width="10.5703125" style="7" customWidth="1"/>
    <col min="4203" max="4203" width="12.7109375" style="7" customWidth="1"/>
    <col min="4204" max="4204" width="11.7109375" style="7" customWidth="1"/>
    <col min="4205" max="4205" width="10.140625" style="7" customWidth="1"/>
    <col min="4206" max="4206" width="0.140625" style="7" customWidth="1"/>
    <col min="4207" max="4207" width="11.7109375" style="7" customWidth="1"/>
    <col min="4208" max="4208" width="10.5703125" style="7" customWidth="1"/>
    <col min="4209" max="4209" width="10" style="7" customWidth="1"/>
    <col min="4210" max="4210" width="9.85546875" style="7" customWidth="1"/>
    <col min="4211" max="4211" width="12.7109375" style="7" customWidth="1"/>
    <col min="4212" max="4212" width="8.42578125" style="7" customWidth="1"/>
    <col min="4213" max="4225" width="0" style="7" hidden="1" customWidth="1"/>
    <col min="4226" max="4226" width="10.5703125" style="7" customWidth="1"/>
    <col min="4227" max="4445" width="9.140625" style="7"/>
    <col min="4446" max="4446" width="4" style="7" customWidth="1"/>
    <col min="4447" max="4447" width="0" style="7" hidden="1" customWidth="1"/>
    <col min="4448" max="4448" width="39.42578125" style="7" customWidth="1"/>
    <col min="4449" max="4449" width="7.7109375" style="7" customWidth="1"/>
    <col min="4450" max="4450" width="5.85546875" style="7" customWidth="1"/>
    <col min="4451" max="4451" width="5.42578125" style="7" customWidth="1"/>
    <col min="4452" max="4456" width="0" style="7" hidden="1" customWidth="1"/>
    <col min="4457" max="4457" width="11.85546875" style="7" customWidth="1"/>
    <col min="4458" max="4458" width="10.5703125" style="7" customWidth="1"/>
    <col min="4459" max="4459" width="12.7109375" style="7" customWidth="1"/>
    <col min="4460" max="4460" width="11.7109375" style="7" customWidth="1"/>
    <col min="4461" max="4461" width="10.140625" style="7" customWidth="1"/>
    <col min="4462" max="4462" width="0.140625" style="7" customWidth="1"/>
    <col min="4463" max="4463" width="11.7109375" style="7" customWidth="1"/>
    <col min="4464" max="4464" width="10.5703125" style="7" customWidth="1"/>
    <col min="4465" max="4465" width="10" style="7" customWidth="1"/>
    <col min="4466" max="4466" width="9.85546875" style="7" customWidth="1"/>
    <col min="4467" max="4467" width="12.7109375" style="7" customWidth="1"/>
    <col min="4468" max="4468" width="8.42578125" style="7" customWidth="1"/>
    <col min="4469" max="4481" width="0" style="7" hidden="1" customWidth="1"/>
    <col min="4482" max="4482" width="10.5703125" style="7" customWidth="1"/>
    <col min="4483" max="4701" width="9.140625" style="7"/>
    <col min="4702" max="4702" width="4" style="7" customWidth="1"/>
    <col min="4703" max="4703" width="0" style="7" hidden="1" customWidth="1"/>
    <col min="4704" max="4704" width="39.42578125" style="7" customWidth="1"/>
    <col min="4705" max="4705" width="7.7109375" style="7" customWidth="1"/>
    <col min="4706" max="4706" width="5.85546875" style="7" customWidth="1"/>
    <col min="4707" max="4707" width="5.42578125" style="7" customWidth="1"/>
    <col min="4708" max="4712" width="0" style="7" hidden="1" customWidth="1"/>
    <col min="4713" max="4713" width="11.85546875" style="7" customWidth="1"/>
    <col min="4714" max="4714" width="10.5703125" style="7" customWidth="1"/>
    <col min="4715" max="4715" width="12.7109375" style="7" customWidth="1"/>
    <col min="4716" max="4716" width="11.7109375" style="7" customWidth="1"/>
    <col min="4717" max="4717" width="10.140625" style="7" customWidth="1"/>
    <col min="4718" max="4718" width="0.140625" style="7" customWidth="1"/>
    <col min="4719" max="4719" width="11.7109375" style="7" customWidth="1"/>
    <col min="4720" max="4720" width="10.5703125" style="7" customWidth="1"/>
    <col min="4721" max="4721" width="10" style="7" customWidth="1"/>
    <col min="4722" max="4722" width="9.85546875" style="7" customWidth="1"/>
    <col min="4723" max="4723" width="12.7109375" style="7" customWidth="1"/>
    <col min="4724" max="4724" width="8.42578125" style="7" customWidth="1"/>
    <col min="4725" max="4737" width="0" style="7" hidden="1" customWidth="1"/>
    <col min="4738" max="4738" width="10.5703125" style="7" customWidth="1"/>
    <col min="4739" max="4957" width="9.140625" style="7"/>
    <col min="4958" max="4958" width="4" style="7" customWidth="1"/>
    <col min="4959" max="4959" width="0" style="7" hidden="1" customWidth="1"/>
    <col min="4960" max="4960" width="39.42578125" style="7" customWidth="1"/>
    <col min="4961" max="4961" width="7.7109375" style="7" customWidth="1"/>
    <col min="4962" max="4962" width="5.85546875" style="7" customWidth="1"/>
    <col min="4963" max="4963" width="5.42578125" style="7" customWidth="1"/>
    <col min="4964" max="4968" width="0" style="7" hidden="1" customWidth="1"/>
    <col min="4969" max="4969" width="11.85546875" style="7" customWidth="1"/>
    <col min="4970" max="4970" width="10.5703125" style="7" customWidth="1"/>
    <col min="4971" max="4971" width="12.7109375" style="7" customWidth="1"/>
    <col min="4972" max="4972" width="11.7109375" style="7" customWidth="1"/>
    <col min="4973" max="4973" width="10.140625" style="7" customWidth="1"/>
    <col min="4974" max="4974" width="0.140625" style="7" customWidth="1"/>
    <col min="4975" max="4975" width="11.7109375" style="7" customWidth="1"/>
    <col min="4976" max="4976" width="10.5703125" style="7" customWidth="1"/>
    <col min="4977" max="4977" width="10" style="7" customWidth="1"/>
    <col min="4978" max="4978" width="9.85546875" style="7" customWidth="1"/>
    <col min="4979" max="4979" width="12.7109375" style="7" customWidth="1"/>
    <col min="4980" max="4980" width="8.42578125" style="7" customWidth="1"/>
    <col min="4981" max="4993" width="0" style="7" hidden="1" customWidth="1"/>
    <col min="4994" max="4994" width="10.5703125" style="7" customWidth="1"/>
    <col min="4995" max="5213" width="9.140625" style="7"/>
    <col min="5214" max="5214" width="4" style="7" customWidth="1"/>
    <col min="5215" max="5215" width="0" style="7" hidden="1" customWidth="1"/>
    <col min="5216" max="5216" width="39.42578125" style="7" customWidth="1"/>
    <col min="5217" max="5217" width="7.7109375" style="7" customWidth="1"/>
    <col min="5218" max="5218" width="5.85546875" style="7" customWidth="1"/>
    <col min="5219" max="5219" width="5.42578125" style="7" customWidth="1"/>
    <col min="5220" max="5224" width="0" style="7" hidden="1" customWidth="1"/>
    <col min="5225" max="5225" width="11.85546875" style="7" customWidth="1"/>
    <col min="5226" max="5226" width="10.5703125" style="7" customWidth="1"/>
    <col min="5227" max="5227" width="12.7109375" style="7" customWidth="1"/>
    <col min="5228" max="5228" width="11.7109375" style="7" customWidth="1"/>
    <col min="5229" max="5229" width="10.140625" style="7" customWidth="1"/>
    <col min="5230" max="5230" width="0.140625" style="7" customWidth="1"/>
    <col min="5231" max="5231" width="11.7109375" style="7" customWidth="1"/>
    <col min="5232" max="5232" width="10.5703125" style="7" customWidth="1"/>
    <col min="5233" max="5233" width="10" style="7" customWidth="1"/>
    <col min="5234" max="5234" width="9.85546875" style="7" customWidth="1"/>
    <col min="5235" max="5235" width="12.7109375" style="7" customWidth="1"/>
    <col min="5236" max="5236" width="8.42578125" style="7" customWidth="1"/>
    <col min="5237" max="5249" width="0" style="7" hidden="1" customWidth="1"/>
    <col min="5250" max="5250" width="10.5703125" style="7" customWidth="1"/>
    <col min="5251" max="5469" width="9.140625" style="7"/>
    <col min="5470" max="5470" width="4" style="7" customWidth="1"/>
    <col min="5471" max="5471" width="0" style="7" hidden="1" customWidth="1"/>
    <col min="5472" max="5472" width="39.42578125" style="7" customWidth="1"/>
    <col min="5473" max="5473" width="7.7109375" style="7" customWidth="1"/>
    <col min="5474" max="5474" width="5.85546875" style="7" customWidth="1"/>
    <col min="5475" max="5475" width="5.42578125" style="7" customWidth="1"/>
    <col min="5476" max="5480" width="0" style="7" hidden="1" customWidth="1"/>
    <col min="5481" max="5481" width="11.85546875" style="7" customWidth="1"/>
    <col min="5482" max="5482" width="10.5703125" style="7" customWidth="1"/>
    <col min="5483" max="5483" width="12.7109375" style="7" customWidth="1"/>
    <col min="5484" max="5484" width="11.7109375" style="7" customWidth="1"/>
    <col min="5485" max="5485" width="10.140625" style="7" customWidth="1"/>
    <col min="5486" max="5486" width="0.140625" style="7" customWidth="1"/>
    <col min="5487" max="5487" width="11.7109375" style="7" customWidth="1"/>
    <col min="5488" max="5488" width="10.5703125" style="7" customWidth="1"/>
    <col min="5489" max="5489" width="10" style="7" customWidth="1"/>
    <col min="5490" max="5490" width="9.85546875" style="7" customWidth="1"/>
    <col min="5491" max="5491" width="12.7109375" style="7" customWidth="1"/>
    <col min="5492" max="5492" width="8.42578125" style="7" customWidth="1"/>
    <col min="5493" max="5505" width="0" style="7" hidden="1" customWidth="1"/>
    <col min="5506" max="5506" width="10.5703125" style="7" customWidth="1"/>
    <col min="5507" max="5725" width="9.140625" style="7"/>
    <col min="5726" max="5726" width="4" style="7" customWidth="1"/>
    <col min="5727" max="5727" width="0" style="7" hidden="1" customWidth="1"/>
    <col min="5728" max="5728" width="39.42578125" style="7" customWidth="1"/>
    <col min="5729" max="5729" width="7.7109375" style="7" customWidth="1"/>
    <col min="5730" max="5730" width="5.85546875" style="7" customWidth="1"/>
    <col min="5731" max="5731" width="5.42578125" style="7" customWidth="1"/>
    <col min="5732" max="5736" width="0" style="7" hidden="1" customWidth="1"/>
    <col min="5737" max="5737" width="11.85546875" style="7" customWidth="1"/>
    <col min="5738" max="5738" width="10.5703125" style="7" customWidth="1"/>
    <col min="5739" max="5739" width="12.7109375" style="7" customWidth="1"/>
    <col min="5740" max="5740" width="11.7109375" style="7" customWidth="1"/>
    <col min="5741" max="5741" width="10.140625" style="7" customWidth="1"/>
    <col min="5742" max="5742" width="0.140625" style="7" customWidth="1"/>
    <col min="5743" max="5743" width="11.7109375" style="7" customWidth="1"/>
    <col min="5744" max="5744" width="10.5703125" style="7" customWidth="1"/>
    <col min="5745" max="5745" width="10" style="7" customWidth="1"/>
    <col min="5746" max="5746" width="9.85546875" style="7" customWidth="1"/>
    <col min="5747" max="5747" width="12.7109375" style="7" customWidth="1"/>
    <col min="5748" max="5748" width="8.42578125" style="7" customWidth="1"/>
    <col min="5749" max="5761" width="0" style="7" hidden="1" customWidth="1"/>
    <col min="5762" max="5762" width="10.5703125" style="7" customWidth="1"/>
    <col min="5763" max="5981" width="9.140625" style="7"/>
    <col min="5982" max="5982" width="4" style="7" customWidth="1"/>
    <col min="5983" max="5983" width="0" style="7" hidden="1" customWidth="1"/>
    <col min="5984" max="5984" width="39.42578125" style="7" customWidth="1"/>
    <col min="5985" max="5985" width="7.7109375" style="7" customWidth="1"/>
    <col min="5986" max="5986" width="5.85546875" style="7" customWidth="1"/>
    <col min="5987" max="5987" width="5.42578125" style="7" customWidth="1"/>
    <col min="5988" max="5992" width="0" style="7" hidden="1" customWidth="1"/>
    <col min="5993" max="5993" width="11.85546875" style="7" customWidth="1"/>
    <col min="5994" max="5994" width="10.5703125" style="7" customWidth="1"/>
    <col min="5995" max="5995" width="12.7109375" style="7" customWidth="1"/>
    <col min="5996" max="5996" width="11.7109375" style="7" customWidth="1"/>
    <col min="5997" max="5997" width="10.140625" style="7" customWidth="1"/>
    <col min="5998" max="5998" width="0.140625" style="7" customWidth="1"/>
    <col min="5999" max="5999" width="11.7109375" style="7" customWidth="1"/>
    <col min="6000" max="6000" width="10.5703125" style="7" customWidth="1"/>
    <col min="6001" max="6001" width="10" style="7" customWidth="1"/>
    <col min="6002" max="6002" width="9.85546875" style="7" customWidth="1"/>
    <col min="6003" max="6003" width="12.7109375" style="7" customWidth="1"/>
    <col min="6004" max="6004" width="8.42578125" style="7" customWidth="1"/>
    <col min="6005" max="6017" width="0" style="7" hidden="1" customWidth="1"/>
    <col min="6018" max="6018" width="10.5703125" style="7" customWidth="1"/>
    <col min="6019" max="6237" width="9.140625" style="7"/>
    <col min="6238" max="6238" width="4" style="7" customWidth="1"/>
    <col min="6239" max="6239" width="0" style="7" hidden="1" customWidth="1"/>
    <col min="6240" max="6240" width="39.42578125" style="7" customWidth="1"/>
    <col min="6241" max="6241" width="7.7109375" style="7" customWidth="1"/>
    <col min="6242" max="6242" width="5.85546875" style="7" customWidth="1"/>
    <col min="6243" max="6243" width="5.42578125" style="7" customWidth="1"/>
    <col min="6244" max="6248" width="0" style="7" hidden="1" customWidth="1"/>
    <col min="6249" max="6249" width="11.85546875" style="7" customWidth="1"/>
    <col min="6250" max="6250" width="10.5703125" style="7" customWidth="1"/>
    <col min="6251" max="6251" width="12.7109375" style="7" customWidth="1"/>
    <col min="6252" max="6252" width="11.7109375" style="7" customWidth="1"/>
    <col min="6253" max="6253" width="10.140625" style="7" customWidth="1"/>
    <col min="6254" max="6254" width="0.140625" style="7" customWidth="1"/>
    <col min="6255" max="6255" width="11.7109375" style="7" customWidth="1"/>
    <col min="6256" max="6256" width="10.5703125" style="7" customWidth="1"/>
    <col min="6257" max="6257" width="10" style="7" customWidth="1"/>
    <col min="6258" max="6258" width="9.85546875" style="7" customWidth="1"/>
    <col min="6259" max="6259" width="12.7109375" style="7" customWidth="1"/>
    <col min="6260" max="6260" width="8.42578125" style="7" customWidth="1"/>
    <col min="6261" max="6273" width="0" style="7" hidden="1" customWidth="1"/>
    <col min="6274" max="6274" width="10.5703125" style="7" customWidth="1"/>
    <col min="6275" max="6493" width="9.140625" style="7"/>
    <col min="6494" max="6494" width="4" style="7" customWidth="1"/>
    <col min="6495" max="6495" width="0" style="7" hidden="1" customWidth="1"/>
    <col min="6496" max="6496" width="39.42578125" style="7" customWidth="1"/>
    <col min="6497" max="6497" width="7.7109375" style="7" customWidth="1"/>
    <col min="6498" max="6498" width="5.85546875" style="7" customWidth="1"/>
    <col min="6499" max="6499" width="5.42578125" style="7" customWidth="1"/>
    <col min="6500" max="6504" width="0" style="7" hidden="1" customWidth="1"/>
    <col min="6505" max="6505" width="11.85546875" style="7" customWidth="1"/>
    <col min="6506" max="6506" width="10.5703125" style="7" customWidth="1"/>
    <col min="6507" max="6507" width="12.7109375" style="7" customWidth="1"/>
    <col min="6508" max="6508" width="11.7109375" style="7" customWidth="1"/>
    <col min="6509" max="6509" width="10.140625" style="7" customWidth="1"/>
    <col min="6510" max="6510" width="0.140625" style="7" customWidth="1"/>
    <col min="6511" max="6511" width="11.7109375" style="7" customWidth="1"/>
    <col min="6512" max="6512" width="10.5703125" style="7" customWidth="1"/>
    <col min="6513" max="6513" width="10" style="7" customWidth="1"/>
    <col min="6514" max="6514" width="9.85546875" style="7" customWidth="1"/>
    <col min="6515" max="6515" width="12.7109375" style="7" customWidth="1"/>
    <col min="6516" max="6516" width="8.42578125" style="7" customWidth="1"/>
    <col min="6517" max="6529" width="0" style="7" hidden="1" customWidth="1"/>
    <col min="6530" max="6530" width="10.5703125" style="7" customWidth="1"/>
    <col min="6531" max="6749" width="9.140625" style="7"/>
    <col min="6750" max="6750" width="4" style="7" customWidth="1"/>
    <col min="6751" max="6751" width="0" style="7" hidden="1" customWidth="1"/>
    <col min="6752" max="6752" width="39.42578125" style="7" customWidth="1"/>
    <col min="6753" max="6753" width="7.7109375" style="7" customWidth="1"/>
    <col min="6754" max="6754" width="5.85546875" style="7" customWidth="1"/>
    <col min="6755" max="6755" width="5.42578125" style="7" customWidth="1"/>
    <col min="6756" max="6760" width="0" style="7" hidden="1" customWidth="1"/>
    <col min="6761" max="6761" width="11.85546875" style="7" customWidth="1"/>
    <col min="6762" max="6762" width="10.5703125" style="7" customWidth="1"/>
    <col min="6763" max="6763" width="12.7109375" style="7" customWidth="1"/>
    <col min="6764" max="6764" width="11.7109375" style="7" customWidth="1"/>
    <col min="6765" max="6765" width="10.140625" style="7" customWidth="1"/>
    <col min="6766" max="6766" width="0.140625" style="7" customWidth="1"/>
    <col min="6767" max="6767" width="11.7109375" style="7" customWidth="1"/>
    <col min="6768" max="6768" width="10.5703125" style="7" customWidth="1"/>
    <col min="6769" max="6769" width="10" style="7" customWidth="1"/>
    <col min="6770" max="6770" width="9.85546875" style="7" customWidth="1"/>
    <col min="6771" max="6771" width="12.7109375" style="7" customWidth="1"/>
    <col min="6772" max="6772" width="8.42578125" style="7" customWidth="1"/>
    <col min="6773" max="6785" width="0" style="7" hidden="1" customWidth="1"/>
    <col min="6786" max="6786" width="10.5703125" style="7" customWidth="1"/>
    <col min="6787" max="7005" width="9.140625" style="7"/>
    <col min="7006" max="7006" width="4" style="7" customWidth="1"/>
    <col min="7007" max="7007" width="0" style="7" hidden="1" customWidth="1"/>
    <col min="7008" max="7008" width="39.42578125" style="7" customWidth="1"/>
    <col min="7009" max="7009" width="7.7109375" style="7" customWidth="1"/>
    <col min="7010" max="7010" width="5.85546875" style="7" customWidth="1"/>
    <col min="7011" max="7011" width="5.42578125" style="7" customWidth="1"/>
    <col min="7012" max="7016" width="0" style="7" hidden="1" customWidth="1"/>
    <col min="7017" max="7017" width="11.85546875" style="7" customWidth="1"/>
    <col min="7018" max="7018" width="10.5703125" style="7" customWidth="1"/>
    <col min="7019" max="7019" width="12.7109375" style="7" customWidth="1"/>
    <col min="7020" max="7020" width="11.7109375" style="7" customWidth="1"/>
    <col min="7021" max="7021" width="10.140625" style="7" customWidth="1"/>
    <col min="7022" max="7022" width="0.140625" style="7" customWidth="1"/>
    <col min="7023" max="7023" width="11.7109375" style="7" customWidth="1"/>
    <col min="7024" max="7024" width="10.5703125" style="7" customWidth="1"/>
    <col min="7025" max="7025" width="10" style="7" customWidth="1"/>
    <col min="7026" max="7026" width="9.85546875" style="7" customWidth="1"/>
    <col min="7027" max="7027" width="12.7109375" style="7" customWidth="1"/>
    <col min="7028" max="7028" width="8.42578125" style="7" customWidth="1"/>
    <col min="7029" max="7041" width="0" style="7" hidden="1" customWidth="1"/>
    <col min="7042" max="7042" width="10.5703125" style="7" customWidth="1"/>
    <col min="7043" max="7261" width="9.140625" style="7"/>
    <col min="7262" max="7262" width="4" style="7" customWidth="1"/>
    <col min="7263" max="7263" width="0" style="7" hidden="1" customWidth="1"/>
    <col min="7264" max="7264" width="39.42578125" style="7" customWidth="1"/>
    <col min="7265" max="7265" width="7.7109375" style="7" customWidth="1"/>
    <col min="7266" max="7266" width="5.85546875" style="7" customWidth="1"/>
    <col min="7267" max="7267" width="5.42578125" style="7" customWidth="1"/>
    <col min="7268" max="7272" width="0" style="7" hidden="1" customWidth="1"/>
    <col min="7273" max="7273" width="11.85546875" style="7" customWidth="1"/>
    <col min="7274" max="7274" width="10.5703125" style="7" customWidth="1"/>
    <col min="7275" max="7275" width="12.7109375" style="7" customWidth="1"/>
    <col min="7276" max="7276" width="11.7109375" style="7" customWidth="1"/>
    <col min="7277" max="7277" width="10.140625" style="7" customWidth="1"/>
    <col min="7278" max="7278" width="0.140625" style="7" customWidth="1"/>
    <col min="7279" max="7279" width="11.7109375" style="7" customWidth="1"/>
    <col min="7280" max="7280" width="10.5703125" style="7" customWidth="1"/>
    <col min="7281" max="7281" width="10" style="7" customWidth="1"/>
    <col min="7282" max="7282" width="9.85546875" style="7" customWidth="1"/>
    <col min="7283" max="7283" width="12.7109375" style="7" customWidth="1"/>
    <col min="7284" max="7284" width="8.42578125" style="7" customWidth="1"/>
    <col min="7285" max="7297" width="0" style="7" hidden="1" customWidth="1"/>
    <col min="7298" max="7298" width="10.5703125" style="7" customWidth="1"/>
    <col min="7299" max="7517" width="9.140625" style="7"/>
    <col min="7518" max="7518" width="4" style="7" customWidth="1"/>
    <col min="7519" max="7519" width="0" style="7" hidden="1" customWidth="1"/>
    <col min="7520" max="7520" width="39.42578125" style="7" customWidth="1"/>
    <col min="7521" max="7521" width="7.7109375" style="7" customWidth="1"/>
    <col min="7522" max="7522" width="5.85546875" style="7" customWidth="1"/>
    <col min="7523" max="7523" width="5.42578125" style="7" customWidth="1"/>
    <col min="7524" max="7528" width="0" style="7" hidden="1" customWidth="1"/>
    <col min="7529" max="7529" width="11.85546875" style="7" customWidth="1"/>
    <col min="7530" max="7530" width="10.5703125" style="7" customWidth="1"/>
    <col min="7531" max="7531" width="12.7109375" style="7" customWidth="1"/>
    <col min="7532" max="7532" width="11.7109375" style="7" customWidth="1"/>
    <col min="7533" max="7533" width="10.140625" style="7" customWidth="1"/>
    <col min="7534" max="7534" width="0.140625" style="7" customWidth="1"/>
    <col min="7535" max="7535" width="11.7109375" style="7" customWidth="1"/>
    <col min="7536" max="7536" width="10.5703125" style="7" customWidth="1"/>
    <col min="7537" max="7537" width="10" style="7" customWidth="1"/>
    <col min="7538" max="7538" width="9.85546875" style="7" customWidth="1"/>
    <col min="7539" max="7539" width="12.7109375" style="7" customWidth="1"/>
    <col min="7540" max="7540" width="8.42578125" style="7" customWidth="1"/>
    <col min="7541" max="7553" width="0" style="7" hidden="1" customWidth="1"/>
    <col min="7554" max="7554" width="10.5703125" style="7" customWidth="1"/>
    <col min="7555" max="7773" width="9.140625" style="7"/>
    <col min="7774" max="7774" width="4" style="7" customWidth="1"/>
    <col min="7775" max="7775" width="0" style="7" hidden="1" customWidth="1"/>
    <col min="7776" max="7776" width="39.42578125" style="7" customWidth="1"/>
    <col min="7777" max="7777" width="7.7109375" style="7" customWidth="1"/>
    <col min="7778" max="7778" width="5.85546875" style="7" customWidth="1"/>
    <col min="7779" max="7779" width="5.42578125" style="7" customWidth="1"/>
    <col min="7780" max="7784" width="0" style="7" hidden="1" customWidth="1"/>
    <col min="7785" max="7785" width="11.85546875" style="7" customWidth="1"/>
    <col min="7786" max="7786" width="10.5703125" style="7" customWidth="1"/>
    <col min="7787" max="7787" width="12.7109375" style="7" customWidth="1"/>
    <col min="7788" max="7788" width="11.7109375" style="7" customWidth="1"/>
    <col min="7789" max="7789" width="10.140625" style="7" customWidth="1"/>
    <col min="7790" max="7790" width="0.140625" style="7" customWidth="1"/>
    <col min="7791" max="7791" width="11.7109375" style="7" customWidth="1"/>
    <col min="7792" max="7792" width="10.5703125" style="7" customWidth="1"/>
    <col min="7793" max="7793" width="10" style="7" customWidth="1"/>
    <col min="7794" max="7794" width="9.85546875" style="7" customWidth="1"/>
    <col min="7795" max="7795" width="12.7109375" style="7" customWidth="1"/>
    <col min="7796" max="7796" width="8.42578125" style="7" customWidth="1"/>
    <col min="7797" max="7809" width="0" style="7" hidden="1" customWidth="1"/>
    <col min="7810" max="7810" width="10.5703125" style="7" customWidth="1"/>
    <col min="7811" max="8029" width="9.140625" style="7"/>
    <col min="8030" max="8030" width="4" style="7" customWidth="1"/>
    <col min="8031" max="8031" width="0" style="7" hidden="1" customWidth="1"/>
    <col min="8032" max="8032" width="39.42578125" style="7" customWidth="1"/>
    <col min="8033" max="8033" width="7.7109375" style="7" customWidth="1"/>
    <col min="8034" max="8034" width="5.85546875" style="7" customWidth="1"/>
    <col min="8035" max="8035" width="5.42578125" style="7" customWidth="1"/>
    <col min="8036" max="8040" width="0" style="7" hidden="1" customWidth="1"/>
    <col min="8041" max="8041" width="11.85546875" style="7" customWidth="1"/>
    <col min="8042" max="8042" width="10.5703125" style="7" customWidth="1"/>
    <col min="8043" max="8043" width="12.7109375" style="7" customWidth="1"/>
    <col min="8044" max="8044" width="11.7109375" style="7" customWidth="1"/>
    <col min="8045" max="8045" width="10.140625" style="7" customWidth="1"/>
    <col min="8046" max="8046" width="0.140625" style="7" customWidth="1"/>
    <col min="8047" max="8047" width="11.7109375" style="7" customWidth="1"/>
    <col min="8048" max="8048" width="10.5703125" style="7" customWidth="1"/>
    <col min="8049" max="8049" width="10" style="7" customWidth="1"/>
    <col min="8050" max="8050" width="9.85546875" style="7" customWidth="1"/>
    <col min="8051" max="8051" width="12.7109375" style="7" customWidth="1"/>
    <col min="8052" max="8052" width="8.42578125" style="7" customWidth="1"/>
    <col min="8053" max="8065" width="0" style="7" hidden="1" customWidth="1"/>
    <col min="8066" max="8066" width="10.5703125" style="7" customWidth="1"/>
    <col min="8067" max="8285" width="9.140625" style="7"/>
    <col min="8286" max="8286" width="4" style="7" customWidth="1"/>
    <col min="8287" max="8287" width="0" style="7" hidden="1" customWidth="1"/>
    <col min="8288" max="8288" width="39.42578125" style="7" customWidth="1"/>
    <col min="8289" max="8289" width="7.7109375" style="7" customWidth="1"/>
    <col min="8290" max="8290" width="5.85546875" style="7" customWidth="1"/>
    <col min="8291" max="8291" width="5.42578125" style="7" customWidth="1"/>
    <col min="8292" max="8296" width="0" style="7" hidden="1" customWidth="1"/>
    <col min="8297" max="8297" width="11.85546875" style="7" customWidth="1"/>
    <col min="8298" max="8298" width="10.5703125" style="7" customWidth="1"/>
    <col min="8299" max="8299" width="12.7109375" style="7" customWidth="1"/>
    <col min="8300" max="8300" width="11.7109375" style="7" customWidth="1"/>
    <col min="8301" max="8301" width="10.140625" style="7" customWidth="1"/>
    <col min="8302" max="8302" width="0.140625" style="7" customWidth="1"/>
    <col min="8303" max="8303" width="11.7109375" style="7" customWidth="1"/>
    <col min="8304" max="8304" width="10.5703125" style="7" customWidth="1"/>
    <col min="8305" max="8305" width="10" style="7" customWidth="1"/>
    <col min="8306" max="8306" width="9.85546875" style="7" customWidth="1"/>
    <col min="8307" max="8307" width="12.7109375" style="7" customWidth="1"/>
    <col min="8308" max="8308" width="8.42578125" style="7" customWidth="1"/>
    <col min="8309" max="8321" width="0" style="7" hidden="1" customWidth="1"/>
    <col min="8322" max="8322" width="10.5703125" style="7" customWidth="1"/>
    <col min="8323" max="8541" width="9.140625" style="7"/>
    <col min="8542" max="8542" width="4" style="7" customWidth="1"/>
    <col min="8543" max="8543" width="0" style="7" hidden="1" customWidth="1"/>
    <col min="8544" max="8544" width="39.42578125" style="7" customWidth="1"/>
    <col min="8545" max="8545" width="7.7109375" style="7" customWidth="1"/>
    <col min="8546" max="8546" width="5.85546875" style="7" customWidth="1"/>
    <col min="8547" max="8547" width="5.42578125" style="7" customWidth="1"/>
    <col min="8548" max="8552" width="0" style="7" hidden="1" customWidth="1"/>
    <col min="8553" max="8553" width="11.85546875" style="7" customWidth="1"/>
    <col min="8554" max="8554" width="10.5703125" style="7" customWidth="1"/>
    <col min="8555" max="8555" width="12.7109375" style="7" customWidth="1"/>
    <col min="8556" max="8556" width="11.7109375" style="7" customWidth="1"/>
    <col min="8557" max="8557" width="10.140625" style="7" customWidth="1"/>
    <col min="8558" max="8558" width="0.140625" style="7" customWidth="1"/>
    <col min="8559" max="8559" width="11.7109375" style="7" customWidth="1"/>
    <col min="8560" max="8560" width="10.5703125" style="7" customWidth="1"/>
    <col min="8561" max="8561" width="10" style="7" customWidth="1"/>
    <col min="8562" max="8562" width="9.85546875" style="7" customWidth="1"/>
    <col min="8563" max="8563" width="12.7109375" style="7" customWidth="1"/>
    <col min="8564" max="8564" width="8.42578125" style="7" customWidth="1"/>
    <col min="8565" max="8577" width="0" style="7" hidden="1" customWidth="1"/>
    <col min="8578" max="8578" width="10.5703125" style="7" customWidth="1"/>
    <col min="8579" max="8797" width="9.140625" style="7"/>
    <col min="8798" max="8798" width="4" style="7" customWidth="1"/>
    <col min="8799" max="8799" width="0" style="7" hidden="1" customWidth="1"/>
    <col min="8800" max="8800" width="39.42578125" style="7" customWidth="1"/>
    <col min="8801" max="8801" width="7.7109375" style="7" customWidth="1"/>
    <col min="8802" max="8802" width="5.85546875" style="7" customWidth="1"/>
    <col min="8803" max="8803" width="5.42578125" style="7" customWidth="1"/>
    <col min="8804" max="8808" width="0" style="7" hidden="1" customWidth="1"/>
    <col min="8809" max="8809" width="11.85546875" style="7" customWidth="1"/>
    <col min="8810" max="8810" width="10.5703125" style="7" customWidth="1"/>
    <col min="8811" max="8811" width="12.7109375" style="7" customWidth="1"/>
    <col min="8812" max="8812" width="11.7109375" style="7" customWidth="1"/>
    <col min="8813" max="8813" width="10.140625" style="7" customWidth="1"/>
    <col min="8814" max="8814" width="0.140625" style="7" customWidth="1"/>
    <col min="8815" max="8815" width="11.7109375" style="7" customWidth="1"/>
    <col min="8816" max="8816" width="10.5703125" style="7" customWidth="1"/>
    <col min="8817" max="8817" width="10" style="7" customWidth="1"/>
    <col min="8818" max="8818" width="9.85546875" style="7" customWidth="1"/>
    <col min="8819" max="8819" width="12.7109375" style="7" customWidth="1"/>
    <col min="8820" max="8820" width="8.42578125" style="7" customWidth="1"/>
    <col min="8821" max="8833" width="0" style="7" hidden="1" customWidth="1"/>
    <col min="8834" max="8834" width="10.5703125" style="7" customWidth="1"/>
    <col min="8835" max="9053" width="9.140625" style="7"/>
    <col min="9054" max="9054" width="4" style="7" customWidth="1"/>
    <col min="9055" max="9055" width="0" style="7" hidden="1" customWidth="1"/>
    <col min="9056" max="9056" width="39.42578125" style="7" customWidth="1"/>
    <col min="9057" max="9057" width="7.7109375" style="7" customWidth="1"/>
    <col min="9058" max="9058" width="5.85546875" style="7" customWidth="1"/>
    <col min="9059" max="9059" width="5.42578125" style="7" customWidth="1"/>
    <col min="9060" max="9064" width="0" style="7" hidden="1" customWidth="1"/>
    <col min="9065" max="9065" width="11.85546875" style="7" customWidth="1"/>
    <col min="9066" max="9066" width="10.5703125" style="7" customWidth="1"/>
    <col min="9067" max="9067" width="12.7109375" style="7" customWidth="1"/>
    <col min="9068" max="9068" width="11.7109375" style="7" customWidth="1"/>
    <col min="9069" max="9069" width="10.140625" style="7" customWidth="1"/>
    <col min="9070" max="9070" width="0.140625" style="7" customWidth="1"/>
    <col min="9071" max="9071" width="11.7109375" style="7" customWidth="1"/>
    <col min="9072" max="9072" width="10.5703125" style="7" customWidth="1"/>
    <col min="9073" max="9073" width="10" style="7" customWidth="1"/>
    <col min="9074" max="9074" width="9.85546875" style="7" customWidth="1"/>
    <col min="9075" max="9075" width="12.7109375" style="7" customWidth="1"/>
    <col min="9076" max="9076" width="8.42578125" style="7" customWidth="1"/>
    <col min="9077" max="9089" width="0" style="7" hidden="1" customWidth="1"/>
    <col min="9090" max="9090" width="10.5703125" style="7" customWidth="1"/>
    <col min="9091" max="9309" width="9.140625" style="7"/>
    <col min="9310" max="9310" width="4" style="7" customWidth="1"/>
    <col min="9311" max="9311" width="0" style="7" hidden="1" customWidth="1"/>
    <col min="9312" max="9312" width="39.42578125" style="7" customWidth="1"/>
    <col min="9313" max="9313" width="7.7109375" style="7" customWidth="1"/>
    <col min="9314" max="9314" width="5.85546875" style="7" customWidth="1"/>
    <col min="9315" max="9315" width="5.42578125" style="7" customWidth="1"/>
    <col min="9316" max="9320" width="0" style="7" hidden="1" customWidth="1"/>
    <col min="9321" max="9321" width="11.85546875" style="7" customWidth="1"/>
    <col min="9322" max="9322" width="10.5703125" style="7" customWidth="1"/>
    <col min="9323" max="9323" width="12.7109375" style="7" customWidth="1"/>
    <col min="9324" max="9324" width="11.7109375" style="7" customWidth="1"/>
    <col min="9325" max="9325" width="10.140625" style="7" customWidth="1"/>
    <col min="9326" max="9326" width="0.140625" style="7" customWidth="1"/>
    <col min="9327" max="9327" width="11.7109375" style="7" customWidth="1"/>
    <col min="9328" max="9328" width="10.5703125" style="7" customWidth="1"/>
    <col min="9329" max="9329" width="10" style="7" customWidth="1"/>
    <col min="9330" max="9330" width="9.85546875" style="7" customWidth="1"/>
    <col min="9331" max="9331" width="12.7109375" style="7" customWidth="1"/>
    <col min="9332" max="9332" width="8.42578125" style="7" customWidth="1"/>
    <col min="9333" max="9345" width="0" style="7" hidden="1" customWidth="1"/>
    <col min="9346" max="9346" width="10.5703125" style="7" customWidth="1"/>
    <col min="9347" max="9565" width="9.140625" style="7"/>
    <col min="9566" max="9566" width="4" style="7" customWidth="1"/>
    <col min="9567" max="9567" width="0" style="7" hidden="1" customWidth="1"/>
    <col min="9568" max="9568" width="39.42578125" style="7" customWidth="1"/>
    <col min="9569" max="9569" width="7.7109375" style="7" customWidth="1"/>
    <col min="9570" max="9570" width="5.85546875" style="7" customWidth="1"/>
    <col min="9571" max="9571" width="5.42578125" style="7" customWidth="1"/>
    <col min="9572" max="9576" width="0" style="7" hidden="1" customWidth="1"/>
    <col min="9577" max="9577" width="11.85546875" style="7" customWidth="1"/>
    <col min="9578" max="9578" width="10.5703125" style="7" customWidth="1"/>
    <col min="9579" max="9579" width="12.7109375" style="7" customWidth="1"/>
    <col min="9580" max="9580" width="11.7109375" style="7" customWidth="1"/>
    <col min="9581" max="9581" width="10.140625" style="7" customWidth="1"/>
    <col min="9582" max="9582" width="0.140625" style="7" customWidth="1"/>
    <col min="9583" max="9583" width="11.7109375" style="7" customWidth="1"/>
    <col min="9584" max="9584" width="10.5703125" style="7" customWidth="1"/>
    <col min="9585" max="9585" width="10" style="7" customWidth="1"/>
    <col min="9586" max="9586" width="9.85546875" style="7" customWidth="1"/>
    <col min="9587" max="9587" width="12.7109375" style="7" customWidth="1"/>
    <col min="9588" max="9588" width="8.42578125" style="7" customWidth="1"/>
    <col min="9589" max="9601" width="0" style="7" hidden="1" customWidth="1"/>
    <col min="9602" max="9602" width="10.5703125" style="7" customWidth="1"/>
    <col min="9603" max="9821" width="9.140625" style="7"/>
    <col min="9822" max="9822" width="4" style="7" customWidth="1"/>
    <col min="9823" max="9823" width="0" style="7" hidden="1" customWidth="1"/>
    <col min="9824" max="9824" width="39.42578125" style="7" customWidth="1"/>
    <col min="9825" max="9825" width="7.7109375" style="7" customWidth="1"/>
    <col min="9826" max="9826" width="5.85546875" style="7" customWidth="1"/>
    <col min="9827" max="9827" width="5.42578125" style="7" customWidth="1"/>
    <col min="9828" max="9832" width="0" style="7" hidden="1" customWidth="1"/>
    <col min="9833" max="9833" width="11.85546875" style="7" customWidth="1"/>
    <col min="9834" max="9834" width="10.5703125" style="7" customWidth="1"/>
    <col min="9835" max="9835" width="12.7109375" style="7" customWidth="1"/>
    <col min="9836" max="9836" width="11.7109375" style="7" customWidth="1"/>
    <col min="9837" max="9837" width="10.140625" style="7" customWidth="1"/>
    <col min="9838" max="9838" width="0.140625" style="7" customWidth="1"/>
    <col min="9839" max="9839" width="11.7109375" style="7" customWidth="1"/>
    <col min="9840" max="9840" width="10.5703125" style="7" customWidth="1"/>
    <col min="9841" max="9841" width="10" style="7" customWidth="1"/>
    <col min="9842" max="9842" width="9.85546875" style="7" customWidth="1"/>
    <col min="9843" max="9843" width="12.7109375" style="7" customWidth="1"/>
    <col min="9844" max="9844" width="8.42578125" style="7" customWidth="1"/>
    <col min="9845" max="9857" width="0" style="7" hidden="1" customWidth="1"/>
    <col min="9858" max="9858" width="10.5703125" style="7" customWidth="1"/>
    <col min="9859" max="10077" width="9.140625" style="7"/>
    <col min="10078" max="10078" width="4" style="7" customWidth="1"/>
    <col min="10079" max="10079" width="0" style="7" hidden="1" customWidth="1"/>
    <col min="10080" max="10080" width="39.42578125" style="7" customWidth="1"/>
    <col min="10081" max="10081" width="7.7109375" style="7" customWidth="1"/>
    <col min="10082" max="10082" width="5.85546875" style="7" customWidth="1"/>
    <col min="10083" max="10083" width="5.42578125" style="7" customWidth="1"/>
    <col min="10084" max="10088" width="0" style="7" hidden="1" customWidth="1"/>
    <col min="10089" max="10089" width="11.85546875" style="7" customWidth="1"/>
    <col min="10090" max="10090" width="10.5703125" style="7" customWidth="1"/>
    <col min="10091" max="10091" width="12.7109375" style="7" customWidth="1"/>
    <col min="10092" max="10092" width="11.7109375" style="7" customWidth="1"/>
    <col min="10093" max="10093" width="10.140625" style="7" customWidth="1"/>
    <col min="10094" max="10094" width="0.140625" style="7" customWidth="1"/>
    <col min="10095" max="10095" width="11.7109375" style="7" customWidth="1"/>
    <col min="10096" max="10096" width="10.5703125" style="7" customWidth="1"/>
    <col min="10097" max="10097" width="10" style="7" customWidth="1"/>
    <col min="10098" max="10098" width="9.85546875" style="7" customWidth="1"/>
    <col min="10099" max="10099" width="12.7109375" style="7" customWidth="1"/>
    <col min="10100" max="10100" width="8.42578125" style="7" customWidth="1"/>
    <col min="10101" max="10113" width="0" style="7" hidden="1" customWidth="1"/>
    <col min="10114" max="10114" width="10.5703125" style="7" customWidth="1"/>
    <col min="10115" max="10333" width="9.140625" style="7"/>
    <col min="10334" max="10334" width="4" style="7" customWidth="1"/>
    <col min="10335" max="10335" width="0" style="7" hidden="1" customWidth="1"/>
    <col min="10336" max="10336" width="39.42578125" style="7" customWidth="1"/>
    <col min="10337" max="10337" width="7.7109375" style="7" customWidth="1"/>
    <col min="10338" max="10338" width="5.85546875" style="7" customWidth="1"/>
    <col min="10339" max="10339" width="5.42578125" style="7" customWidth="1"/>
    <col min="10340" max="10344" width="0" style="7" hidden="1" customWidth="1"/>
    <col min="10345" max="10345" width="11.85546875" style="7" customWidth="1"/>
    <col min="10346" max="10346" width="10.5703125" style="7" customWidth="1"/>
    <col min="10347" max="10347" width="12.7109375" style="7" customWidth="1"/>
    <col min="10348" max="10348" width="11.7109375" style="7" customWidth="1"/>
    <col min="10349" max="10349" width="10.140625" style="7" customWidth="1"/>
    <col min="10350" max="10350" width="0.140625" style="7" customWidth="1"/>
    <col min="10351" max="10351" width="11.7109375" style="7" customWidth="1"/>
    <col min="10352" max="10352" width="10.5703125" style="7" customWidth="1"/>
    <col min="10353" max="10353" width="10" style="7" customWidth="1"/>
    <col min="10354" max="10354" width="9.85546875" style="7" customWidth="1"/>
    <col min="10355" max="10355" width="12.7109375" style="7" customWidth="1"/>
    <col min="10356" max="10356" width="8.42578125" style="7" customWidth="1"/>
    <col min="10357" max="10369" width="0" style="7" hidden="1" customWidth="1"/>
    <col min="10370" max="10370" width="10.5703125" style="7" customWidth="1"/>
    <col min="10371" max="10589" width="9.140625" style="7"/>
    <col min="10590" max="10590" width="4" style="7" customWidth="1"/>
    <col min="10591" max="10591" width="0" style="7" hidden="1" customWidth="1"/>
    <col min="10592" max="10592" width="39.42578125" style="7" customWidth="1"/>
    <col min="10593" max="10593" width="7.7109375" style="7" customWidth="1"/>
    <col min="10594" max="10594" width="5.85546875" style="7" customWidth="1"/>
    <col min="10595" max="10595" width="5.42578125" style="7" customWidth="1"/>
    <col min="10596" max="10600" width="0" style="7" hidden="1" customWidth="1"/>
    <col min="10601" max="10601" width="11.85546875" style="7" customWidth="1"/>
    <col min="10602" max="10602" width="10.5703125" style="7" customWidth="1"/>
    <col min="10603" max="10603" width="12.7109375" style="7" customWidth="1"/>
    <col min="10604" max="10604" width="11.7109375" style="7" customWidth="1"/>
    <col min="10605" max="10605" width="10.140625" style="7" customWidth="1"/>
    <col min="10606" max="10606" width="0.140625" style="7" customWidth="1"/>
    <col min="10607" max="10607" width="11.7109375" style="7" customWidth="1"/>
    <col min="10608" max="10608" width="10.5703125" style="7" customWidth="1"/>
    <col min="10609" max="10609" width="10" style="7" customWidth="1"/>
    <col min="10610" max="10610" width="9.85546875" style="7" customWidth="1"/>
    <col min="10611" max="10611" width="12.7109375" style="7" customWidth="1"/>
    <col min="10612" max="10612" width="8.42578125" style="7" customWidth="1"/>
    <col min="10613" max="10625" width="0" style="7" hidden="1" customWidth="1"/>
    <col min="10626" max="10626" width="10.5703125" style="7" customWidth="1"/>
    <col min="10627" max="10845" width="9.140625" style="7"/>
    <col min="10846" max="10846" width="4" style="7" customWidth="1"/>
    <col min="10847" max="10847" width="0" style="7" hidden="1" customWidth="1"/>
    <col min="10848" max="10848" width="39.42578125" style="7" customWidth="1"/>
    <col min="10849" max="10849" width="7.7109375" style="7" customWidth="1"/>
    <col min="10850" max="10850" width="5.85546875" style="7" customWidth="1"/>
    <col min="10851" max="10851" width="5.42578125" style="7" customWidth="1"/>
    <col min="10852" max="10856" width="0" style="7" hidden="1" customWidth="1"/>
    <col min="10857" max="10857" width="11.85546875" style="7" customWidth="1"/>
    <col min="10858" max="10858" width="10.5703125" style="7" customWidth="1"/>
    <col min="10859" max="10859" width="12.7109375" style="7" customWidth="1"/>
    <col min="10860" max="10860" width="11.7109375" style="7" customWidth="1"/>
    <col min="10861" max="10861" width="10.140625" style="7" customWidth="1"/>
    <col min="10862" max="10862" width="0.140625" style="7" customWidth="1"/>
    <col min="10863" max="10863" width="11.7109375" style="7" customWidth="1"/>
    <col min="10864" max="10864" width="10.5703125" style="7" customWidth="1"/>
    <col min="10865" max="10865" width="10" style="7" customWidth="1"/>
    <col min="10866" max="10866" width="9.85546875" style="7" customWidth="1"/>
    <col min="10867" max="10867" width="12.7109375" style="7" customWidth="1"/>
    <col min="10868" max="10868" width="8.42578125" style="7" customWidth="1"/>
    <col min="10869" max="10881" width="0" style="7" hidden="1" customWidth="1"/>
    <col min="10882" max="10882" width="10.5703125" style="7" customWidth="1"/>
    <col min="10883" max="11101" width="9.140625" style="7"/>
    <col min="11102" max="11102" width="4" style="7" customWidth="1"/>
    <col min="11103" max="11103" width="0" style="7" hidden="1" customWidth="1"/>
    <col min="11104" max="11104" width="39.42578125" style="7" customWidth="1"/>
    <col min="11105" max="11105" width="7.7109375" style="7" customWidth="1"/>
    <col min="11106" max="11106" width="5.85546875" style="7" customWidth="1"/>
    <col min="11107" max="11107" width="5.42578125" style="7" customWidth="1"/>
    <col min="11108" max="11112" width="0" style="7" hidden="1" customWidth="1"/>
    <col min="11113" max="11113" width="11.85546875" style="7" customWidth="1"/>
    <col min="11114" max="11114" width="10.5703125" style="7" customWidth="1"/>
    <col min="11115" max="11115" width="12.7109375" style="7" customWidth="1"/>
    <col min="11116" max="11116" width="11.7109375" style="7" customWidth="1"/>
    <col min="11117" max="11117" width="10.140625" style="7" customWidth="1"/>
    <col min="11118" max="11118" width="0.140625" style="7" customWidth="1"/>
    <col min="11119" max="11119" width="11.7109375" style="7" customWidth="1"/>
    <col min="11120" max="11120" width="10.5703125" style="7" customWidth="1"/>
    <col min="11121" max="11121" width="10" style="7" customWidth="1"/>
    <col min="11122" max="11122" width="9.85546875" style="7" customWidth="1"/>
    <col min="11123" max="11123" width="12.7109375" style="7" customWidth="1"/>
    <col min="11124" max="11124" width="8.42578125" style="7" customWidth="1"/>
    <col min="11125" max="11137" width="0" style="7" hidden="1" customWidth="1"/>
    <col min="11138" max="11138" width="10.5703125" style="7" customWidth="1"/>
    <col min="11139" max="11357" width="9.140625" style="7"/>
    <col min="11358" max="11358" width="4" style="7" customWidth="1"/>
    <col min="11359" max="11359" width="0" style="7" hidden="1" customWidth="1"/>
    <col min="11360" max="11360" width="39.42578125" style="7" customWidth="1"/>
    <col min="11361" max="11361" width="7.7109375" style="7" customWidth="1"/>
    <col min="11362" max="11362" width="5.85546875" style="7" customWidth="1"/>
    <col min="11363" max="11363" width="5.42578125" style="7" customWidth="1"/>
    <col min="11364" max="11368" width="0" style="7" hidden="1" customWidth="1"/>
    <col min="11369" max="11369" width="11.85546875" style="7" customWidth="1"/>
    <col min="11370" max="11370" width="10.5703125" style="7" customWidth="1"/>
    <col min="11371" max="11371" width="12.7109375" style="7" customWidth="1"/>
    <col min="11372" max="11372" width="11.7109375" style="7" customWidth="1"/>
    <col min="11373" max="11373" width="10.140625" style="7" customWidth="1"/>
    <col min="11374" max="11374" width="0.140625" style="7" customWidth="1"/>
    <col min="11375" max="11375" width="11.7109375" style="7" customWidth="1"/>
    <col min="11376" max="11376" width="10.5703125" style="7" customWidth="1"/>
    <col min="11377" max="11377" width="10" style="7" customWidth="1"/>
    <col min="11378" max="11378" width="9.85546875" style="7" customWidth="1"/>
    <col min="11379" max="11379" width="12.7109375" style="7" customWidth="1"/>
    <col min="11380" max="11380" width="8.42578125" style="7" customWidth="1"/>
    <col min="11381" max="11393" width="0" style="7" hidden="1" customWidth="1"/>
    <col min="11394" max="11394" width="10.5703125" style="7" customWidth="1"/>
    <col min="11395" max="11613" width="9.140625" style="7"/>
    <col min="11614" max="11614" width="4" style="7" customWidth="1"/>
    <col min="11615" max="11615" width="0" style="7" hidden="1" customWidth="1"/>
    <col min="11616" max="11616" width="39.42578125" style="7" customWidth="1"/>
    <col min="11617" max="11617" width="7.7109375" style="7" customWidth="1"/>
    <col min="11618" max="11618" width="5.85546875" style="7" customWidth="1"/>
    <col min="11619" max="11619" width="5.42578125" style="7" customWidth="1"/>
    <col min="11620" max="11624" width="0" style="7" hidden="1" customWidth="1"/>
    <col min="11625" max="11625" width="11.85546875" style="7" customWidth="1"/>
    <col min="11626" max="11626" width="10.5703125" style="7" customWidth="1"/>
    <col min="11627" max="11627" width="12.7109375" style="7" customWidth="1"/>
    <col min="11628" max="11628" width="11.7109375" style="7" customWidth="1"/>
    <col min="11629" max="11629" width="10.140625" style="7" customWidth="1"/>
    <col min="11630" max="11630" width="0.140625" style="7" customWidth="1"/>
    <col min="11631" max="11631" width="11.7109375" style="7" customWidth="1"/>
    <col min="11632" max="11632" width="10.5703125" style="7" customWidth="1"/>
    <col min="11633" max="11633" width="10" style="7" customWidth="1"/>
    <col min="11634" max="11634" width="9.85546875" style="7" customWidth="1"/>
    <col min="11635" max="11635" width="12.7109375" style="7" customWidth="1"/>
    <col min="11636" max="11636" width="8.42578125" style="7" customWidth="1"/>
    <col min="11637" max="11649" width="0" style="7" hidden="1" customWidth="1"/>
    <col min="11650" max="11650" width="10.5703125" style="7" customWidth="1"/>
    <col min="11651" max="11869" width="9.140625" style="7"/>
    <col min="11870" max="11870" width="4" style="7" customWidth="1"/>
    <col min="11871" max="11871" width="0" style="7" hidden="1" customWidth="1"/>
    <col min="11872" max="11872" width="39.42578125" style="7" customWidth="1"/>
    <col min="11873" max="11873" width="7.7109375" style="7" customWidth="1"/>
    <col min="11874" max="11874" width="5.85546875" style="7" customWidth="1"/>
    <col min="11875" max="11875" width="5.42578125" style="7" customWidth="1"/>
    <col min="11876" max="11880" width="0" style="7" hidden="1" customWidth="1"/>
    <col min="11881" max="11881" width="11.85546875" style="7" customWidth="1"/>
    <col min="11882" max="11882" width="10.5703125" style="7" customWidth="1"/>
    <col min="11883" max="11883" width="12.7109375" style="7" customWidth="1"/>
    <col min="11884" max="11884" width="11.7109375" style="7" customWidth="1"/>
    <col min="11885" max="11885" width="10.140625" style="7" customWidth="1"/>
    <col min="11886" max="11886" width="0.140625" style="7" customWidth="1"/>
    <col min="11887" max="11887" width="11.7109375" style="7" customWidth="1"/>
    <col min="11888" max="11888" width="10.5703125" style="7" customWidth="1"/>
    <col min="11889" max="11889" width="10" style="7" customWidth="1"/>
    <col min="11890" max="11890" width="9.85546875" style="7" customWidth="1"/>
    <col min="11891" max="11891" width="12.7109375" style="7" customWidth="1"/>
    <col min="11892" max="11892" width="8.42578125" style="7" customWidth="1"/>
    <col min="11893" max="11905" width="0" style="7" hidden="1" customWidth="1"/>
    <col min="11906" max="11906" width="10.5703125" style="7" customWidth="1"/>
    <col min="11907" max="12125" width="9.140625" style="7"/>
    <col min="12126" max="12126" width="4" style="7" customWidth="1"/>
    <col min="12127" max="12127" width="0" style="7" hidden="1" customWidth="1"/>
    <col min="12128" max="12128" width="39.42578125" style="7" customWidth="1"/>
    <col min="12129" max="12129" width="7.7109375" style="7" customWidth="1"/>
    <col min="12130" max="12130" width="5.85546875" style="7" customWidth="1"/>
    <col min="12131" max="12131" width="5.42578125" style="7" customWidth="1"/>
    <col min="12132" max="12136" width="0" style="7" hidden="1" customWidth="1"/>
    <col min="12137" max="12137" width="11.85546875" style="7" customWidth="1"/>
    <col min="12138" max="12138" width="10.5703125" style="7" customWidth="1"/>
    <col min="12139" max="12139" width="12.7109375" style="7" customWidth="1"/>
    <col min="12140" max="12140" width="11.7109375" style="7" customWidth="1"/>
    <col min="12141" max="12141" width="10.140625" style="7" customWidth="1"/>
    <col min="12142" max="12142" width="0.140625" style="7" customWidth="1"/>
    <col min="12143" max="12143" width="11.7109375" style="7" customWidth="1"/>
    <col min="12144" max="12144" width="10.5703125" style="7" customWidth="1"/>
    <col min="12145" max="12145" width="10" style="7" customWidth="1"/>
    <col min="12146" max="12146" width="9.85546875" style="7" customWidth="1"/>
    <col min="12147" max="12147" width="12.7109375" style="7" customWidth="1"/>
    <col min="12148" max="12148" width="8.42578125" style="7" customWidth="1"/>
    <col min="12149" max="12161" width="0" style="7" hidden="1" customWidth="1"/>
    <col min="12162" max="12162" width="10.5703125" style="7" customWidth="1"/>
    <col min="12163" max="12381" width="9.140625" style="7"/>
    <col min="12382" max="12382" width="4" style="7" customWidth="1"/>
    <col min="12383" max="12383" width="0" style="7" hidden="1" customWidth="1"/>
    <col min="12384" max="12384" width="39.42578125" style="7" customWidth="1"/>
    <col min="12385" max="12385" width="7.7109375" style="7" customWidth="1"/>
    <col min="12386" max="12386" width="5.85546875" style="7" customWidth="1"/>
    <col min="12387" max="12387" width="5.42578125" style="7" customWidth="1"/>
    <col min="12388" max="12392" width="0" style="7" hidden="1" customWidth="1"/>
    <col min="12393" max="12393" width="11.85546875" style="7" customWidth="1"/>
    <col min="12394" max="12394" width="10.5703125" style="7" customWidth="1"/>
    <col min="12395" max="12395" width="12.7109375" style="7" customWidth="1"/>
    <col min="12396" max="12396" width="11.7109375" style="7" customWidth="1"/>
    <col min="12397" max="12397" width="10.140625" style="7" customWidth="1"/>
    <col min="12398" max="12398" width="0.140625" style="7" customWidth="1"/>
    <col min="12399" max="12399" width="11.7109375" style="7" customWidth="1"/>
    <col min="12400" max="12400" width="10.5703125" style="7" customWidth="1"/>
    <col min="12401" max="12401" width="10" style="7" customWidth="1"/>
    <col min="12402" max="12402" width="9.85546875" style="7" customWidth="1"/>
    <col min="12403" max="12403" width="12.7109375" style="7" customWidth="1"/>
    <col min="12404" max="12404" width="8.42578125" style="7" customWidth="1"/>
    <col min="12405" max="12417" width="0" style="7" hidden="1" customWidth="1"/>
    <col min="12418" max="12418" width="10.5703125" style="7" customWidth="1"/>
    <col min="12419" max="12637" width="9.140625" style="7"/>
    <col min="12638" max="12638" width="4" style="7" customWidth="1"/>
    <col min="12639" max="12639" width="0" style="7" hidden="1" customWidth="1"/>
    <col min="12640" max="12640" width="39.42578125" style="7" customWidth="1"/>
    <col min="12641" max="12641" width="7.7109375" style="7" customWidth="1"/>
    <col min="12642" max="12642" width="5.85546875" style="7" customWidth="1"/>
    <col min="12643" max="12643" width="5.42578125" style="7" customWidth="1"/>
    <col min="12644" max="12648" width="0" style="7" hidden="1" customWidth="1"/>
    <col min="12649" max="12649" width="11.85546875" style="7" customWidth="1"/>
    <col min="12650" max="12650" width="10.5703125" style="7" customWidth="1"/>
    <col min="12651" max="12651" width="12.7109375" style="7" customWidth="1"/>
    <col min="12652" max="12652" width="11.7109375" style="7" customWidth="1"/>
    <col min="12653" max="12653" width="10.140625" style="7" customWidth="1"/>
    <col min="12654" max="12654" width="0.140625" style="7" customWidth="1"/>
    <col min="12655" max="12655" width="11.7109375" style="7" customWidth="1"/>
    <col min="12656" max="12656" width="10.5703125" style="7" customWidth="1"/>
    <col min="12657" max="12657" width="10" style="7" customWidth="1"/>
    <col min="12658" max="12658" width="9.85546875" style="7" customWidth="1"/>
    <col min="12659" max="12659" width="12.7109375" style="7" customWidth="1"/>
    <col min="12660" max="12660" width="8.42578125" style="7" customWidth="1"/>
    <col min="12661" max="12673" width="0" style="7" hidden="1" customWidth="1"/>
    <col min="12674" max="12674" width="10.5703125" style="7" customWidth="1"/>
    <col min="12675" max="12893" width="9.140625" style="7"/>
    <col min="12894" max="12894" width="4" style="7" customWidth="1"/>
    <col min="12895" max="12895" width="0" style="7" hidden="1" customWidth="1"/>
    <col min="12896" max="12896" width="39.42578125" style="7" customWidth="1"/>
    <col min="12897" max="12897" width="7.7109375" style="7" customWidth="1"/>
    <col min="12898" max="12898" width="5.85546875" style="7" customWidth="1"/>
    <col min="12899" max="12899" width="5.42578125" style="7" customWidth="1"/>
    <col min="12900" max="12904" width="0" style="7" hidden="1" customWidth="1"/>
    <col min="12905" max="12905" width="11.85546875" style="7" customWidth="1"/>
    <col min="12906" max="12906" width="10.5703125" style="7" customWidth="1"/>
    <col min="12907" max="12907" width="12.7109375" style="7" customWidth="1"/>
    <col min="12908" max="12908" width="11.7109375" style="7" customWidth="1"/>
    <col min="12909" max="12909" width="10.140625" style="7" customWidth="1"/>
    <col min="12910" max="12910" width="0.140625" style="7" customWidth="1"/>
    <col min="12911" max="12911" width="11.7109375" style="7" customWidth="1"/>
    <col min="12912" max="12912" width="10.5703125" style="7" customWidth="1"/>
    <col min="12913" max="12913" width="10" style="7" customWidth="1"/>
    <col min="12914" max="12914" width="9.85546875" style="7" customWidth="1"/>
    <col min="12915" max="12915" width="12.7109375" style="7" customWidth="1"/>
    <col min="12916" max="12916" width="8.42578125" style="7" customWidth="1"/>
    <col min="12917" max="12929" width="0" style="7" hidden="1" customWidth="1"/>
    <col min="12930" max="12930" width="10.5703125" style="7" customWidth="1"/>
    <col min="12931" max="13149" width="9.140625" style="7"/>
    <col min="13150" max="13150" width="4" style="7" customWidth="1"/>
    <col min="13151" max="13151" width="0" style="7" hidden="1" customWidth="1"/>
    <col min="13152" max="13152" width="39.42578125" style="7" customWidth="1"/>
    <col min="13153" max="13153" width="7.7109375" style="7" customWidth="1"/>
    <col min="13154" max="13154" width="5.85546875" style="7" customWidth="1"/>
    <col min="13155" max="13155" width="5.42578125" style="7" customWidth="1"/>
    <col min="13156" max="13160" width="0" style="7" hidden="1" customWidth="1"/>
    <col min="13161" max="13161" width="11.85546875" style="7" customWidth="1"/>
    <col min="13162" max="13162" width="10.5703125" style="7" customWidth="1"/>
    <col min="13163" max="13163" width="12.7109375" style="7" customWidth="1"/>
    <col min="13164" max="13164" width="11.7109375" style="7" customWidth="1"/>
    <col min="13165" max="13165" width="10.140625" style="7" customWidth="1"/>
    <col min="13166" max="13166" width="0.140625" style="7" customWidth="1"/>
    <col min="13167" max="13167" width="11.7109375" style="7" customWidth="1"/>
    <col min="13168" max="13168" width="10.5703125" style="7" customWidth="1"/>
    <col min="13169" max="13169" width="10" style="7" customWidth="1"/>
    <col min="13170" max="13170" width="9.85546875" style="7" customWidth="1"/>
    <col min="13171" max="13171" width="12.7109375" style="7" customWidth="1"/>
    <col min="13172" max="13172" width="8.42578125" style="7" customWidth="1"/>
    <col min="13173" max="13185" width="0" style="7" hidden="1" customWidth="1"/>
    <col min="13186" max="13186" width="10.5703125" style="7" customWidth="1"/>
    <col min="13187" max="13405" width="9.140625" style="7"/>
    <col min="13406" max="13406" width="4" style="7" customWidth="1"/>
    <col min="13407" max="13407" width="0" style="7" hidden="1" customWidth="1"/>
    <col min="13408" max="13408" width="39.42578125" style="7" customWidth="1"/>
    <col min="13409" max="13409" width="7.7109375" style="7" customWidth="1"/>
    <col min="13410" max="13410" width="5.85546875" style="7" customWidth="1"/>
    <col min="13411" max="13411" width="5.42578125" style="7" customWidth="1"/>
    <col min="13412" max="13416" width="0" style="7" hidden="1" customWidth="1"/>
    <col min="13417" max="13417" width="11.85546875" style="7" customWidth="1"/>
    <col min="13418" max="13418" width="10.5703125" style="7" customWidth="1"/>
    <col min="13419" max="13419" width="12.7109375" style="7" customWidth="1"/>
    <col min="13420" max="13420" width="11.7109375" style="7" customWidth="1"/>
    <col min="13421" max="13421" width="10.140625" style="7" customWidth="1"/>
    <col min="13422" max="13422" width="0.140625" style="7" customWidth="1"/>
    <col min="13423" max="13423" width="11.7109375" style="7" customWidth="1"/>
    <col min="13424" max="13424" width="10.5703125" style="7" customWidth="1"/>
    <col min="13425" max="13425" width="10" style="7" customWidth="1"/>
    <col min="13426" max="13426" width="9.85546875" style="7" customWidth="1"/>
    <col min="13427" max="13427" width="12.7109375" style="7" customWidth="1"/>
    <col min="13428" max="13428" width="8.42578125" style="7" customWidth="1"/>
    <col min="13429" max="13441" width="0" style="7" hidden="1" customWidth="1"/>
    <col min="13442" max="13442" width="10.5703125" style="7" customWidth="1"/>
    <col min="13443" max="13661" width="9.140625" style="7"/>
    <col min="13662" max="13662" width="4" style="7" customWidth="1"/>
    <col min="13663" max="13663" width="0" style="7" hidden="1" customWidth="1"/>
    <col min="13664" max="13664" width="39.42578125" style="7" customWidth="1"/>
    <col min="13665" max="13665" width="7.7109375" style="7" customWidth="1"/>
    <col min="13666" max="13666" width="5.85546875" style="7" customWidth="1"/>
    <col min="13667" max="13667" width="5.42578125" style="7" customWidth="1"/>
    <col min="13668" max="13672" width="0" style="7" hidden="1" customWidth="1"/>
    <col min="13673" max="13673" width="11.85546875" style="7" customWidth="1"/>
    <col min="13674" max="13674" width="10.5703125" style="7" customWidth="1"/>
    <col min="13675" max="13675" width="12.7109375" style="7" customWidth="1"/>
    <col min="13676" max="13676" width="11.7109375" style="7" customWidth="1"/>
    <col min="13677" max="13677" width="10.140625" style="7" customWidth="1"/>
    <col min="13678" max="13678" width="0.140625" style="7" customWidth="1"/>
    <col min="13679" max="13679" width="11.7109375" style="7" customWidth="1"/>
    <col min="13680" max="13680" width="10.5703125" style="7" customWidth="1"/>
    <col min="13681" max="13681" width="10" style="7" customWidth="1"/>
    <col min="13682" max="13682" width="9.85546875" style="7" customWidth="1"/>
    <col min="13683" max="13683" width="12.7109375" style="7" customWidth="1"/>
    <col min="13684" max="13684" width="8.42578125" style="7" customWidth="1"/>
    <col min="13685" max="13697" width="0" style="7" hidden="1" customWidth="1"/>
    <col min="13698" max="13698" width="10.5703125" style="7" customWidth="1"/>
    <col min="13699" max="13917" width="9.140625" style="7"/>
    <col min="13918" max="13918" width="4" style="7" customWidth="1"/>
    <col min="13919" max="13919" width="0" style="7" hidden="1" customWidth="1"/>
    <col min="13920" max="13920" width="39.42578125" style="7" customWidth="1"/>
    <col min="13921" max="13921" width="7.7109375" style="7" customWidth="1"/>
    <col min="13922" max="13922" width="5.85546875" style="7" customWidth="1"/>
    <col min="13923" max="13923" width="5.42578125" style="7" customWidth="1"/>
    <col min="13924" max="13928" width="0" style="7" hidden="1" customWidth="1"/>
    <col min="13929" max="13929" width="11.85546875" style="7" customWidth="1"/>
    <col min="13930" max="13930" width="10.5703125" style="7" customWidth="1"/>
    <col min="13931" max="13931" width="12.7109375" style="7" customWidth="1"/>
    <col min="13932" max="13932" width="11.7109375" style="7" customWidth="1"/>
    <col min="13933" max="13933" width="10.140625" style="7" customWidth="1"/>
    <col min="13934" max="13934" width="0.140625" style="7" customWidth="1"/>
    <col min="13935" max="13935" width="11.7109375" style="7" customWidth="1"/>
    <col min="13936" max="13936" width="10.5703125" style="7" customWidth="1"/>
    <col min="13937" max="13937" width="10" style="7" customWidth="1"/>
    <col min="13938" max="13938" width="9.85546875" style="7" customWidth="1"/>
    <col min="13939" max="13939" width="12.7109375" style="7" customWidth="1"/>
    <col min="13940" max="13940" width="8.42578125" style="7" customWidth="1"/>
    <col min="13941" max="13953" width="0" style="7" hidden="1" customWidth="1"/>
    <col min="13954" max="13954" width="10.5703125" style="7" customWidth="1"/>
    <col min="13955" max="14173" width="9.140625" style="7"/>
    <col min="14174" max="14174" width="4" style="7" customWidth="1"/>
    <col min="14175" max="14175" width="0" style="7" hidden="1" customWidth="1"/>
    <col min="14176" max="14176" width="39.42578125" style="7" customWidth="1"/>
    <col min="14177" max="14177" width="7.7109375" style="7" customWidth="1"/>
    <col min="14178" max="14178" width="5.85546875" style="7" customWidth="1"/>
    <col min="14179" max="14179" width="5.42578125" style="7" customWidth="1"/>
    <col min="14180" max="14184" width="0" style="7" hidden="1" customWidth="1"/>
    <col min="14185" max="14185" width="11.85546875" style="7" customWidth="1"/>
    <col min="14186" max="14186" width="10.5703125" style="7" customWidth="1"/>
    <col min="14187" max="14187" width="12.7109375" style="7" customWidth="1"/>
    <col min="14188" max="14188" width="11.7109375" style="7" customWidth="1"/>
    <col min="14189" max="14189" width="10.140625" style="7" customWidth="1"/>
    <col min="14190" max="14190" width="0.140625" style="7" customWidth="1"/>
    <col min="14191" max="14191" width="11.7109375" style="7" customWidth="1"/>
    <col min="14192" max="14192" width="10.5703125" style="7" customWidth="1"/>
    <col min="14193" max="14193" width="10" style="7" customWidth="1"/>
    <col min="14194" max="14194" width="9.85546875" style="7" customWidth="1"/>
    <col min="14195" max="14195" width="12.7109375" style="7" customWidth="1"/>
    <col min="14196" max="14196" width="8.42578125" style="7" customWidth="1"/>
    <col min="14197" max="14209" width="0" style="7" hidden="1" customWidth="1"/>
    <col min="14210" max="14210" width="10.5703125" style="7" customWidth="1"/>
    <col min="14211" max="14429" width="9.140625" style="7"/>
    <col min="14430" max="14430" width="4" style="7" customWidth="1"/>
    <col min="14431" max="14431" width="0" style="7" hidden="1" customWidth="1"/>
    <col min="14432" max="14432" width="39.42578125" style="7" customWidth="1"/>
    <col min="14433" max="14433" width="7.7109375" style="7" customWidth="1"/>
    <col min="14434" max="14434" width="5.85546875" style="7" customWidth="1"/>
    <col min="14435" max="14435" width="5.42578125" style="7" customWidth="1"/>
    <col min="14436" max="14440" width="0" style="7" hidden="1" customWidth="1"/>
    <col min="14441" max="14441" width="11.85546875" style="7" customWidth="1"/>
    <col min="14442" max="14442" width="10.5703125" style="7" customWidth="1"/>
    <col min="14443" max="14443" width="12.7109375" style="7" customWidth="1"/>
    <col min="14444" max="14444" width="11.7109375" style="7" customWidth="1"/>
    <col min="14445" max="14445" width="10.140625" style="7" customWidth="1"/>
    <col min="14446" max="14446" width="0.140625" style="7" customWidth="1"/>
    <col min="14447" max="14447" width="11.7109375" style="7" customWidth="1"/>
    <col min="14448" max="14448" width="10.5703125" style="7" customWidth="1"/>
    <col min="14449" max="14449" width="10" style="7" customWidth="1"/>
    <col min="14450" max="14450" width="9.85546875" style="7" customWidth="1"/>
    <col min="14451" max="14451" width="12.7109375" style="7" customWidth="1"/>
    <col min="14452" max="14452" width="8.42578125" style="7" customWidth="1"/>
    <col min="14453" max="14465" width="0" style="7" hidden="1" customWidth="1"/>
    <col min="14466" max="14466" width="10.5703125" style="7" customWidth="1"/>
    <col min="14467" max="14685" width="9.140625" style="7"/>
    <col min="14686" max="14686" width="4" style="7" customWidth="1"/>
    <col min="14687" max="14687" width="0" style="7" hidden="1" customWidth="1"/>
    <col min="14688" max="14688" width="39.42578125" style="7" customWidth="1"/>
    <col min="14689" max="14689" width="7.7109375" style="7" customWidth="1"/>
    <col min="14690" max="14690" width="5.85546875" style="7" customWidth="1"/>
    <col min="14691" max="14691" width="5.42578125" style="7" customWidth="1"/>
    <col min="14692" max="14696" width="0" style="7" hidden="1" customWidth="1"/>
    <col min="14697" max="14697" width="11.85546875" style="7" customWidth="1"/>
    <col min="14698" max="14698" width="10.5703125" style="7" customWidth="1"/>
    <col min="14699" max="14699" width="12.7109375" style="7" customWidth="1"/>
    <col min="14700" max="14700" width="11.7109375" style="7" customWidth="1"/>
    <col min="14701" max="14701" width="10.140625" style="7" customWidth="1"/>
    <col min="14702" max="14702" width="0.140625" style="7" customWidth="1"/>
    <col min="14703" max="14703" width="11.7109375" style="7" customWidth="1"/>
    <col min="14704" max="14704" width="10.5703125" style="7" customWidth="1"/>
    <col min="14705" max="14705" width="10" style="7" customWidth="1"/>
    <col min="14706" max="14706" width="9.85546875" style="7" customWidth="1"/>
    <col min="14707" max="14707" width="12.7109375" style="7" customWidth="1"/>
    <col min="14708" max="14708" width="8.42578125" style="7" customWidth="1"/>
    <col min="14709" max="14721" width="0" style="7" hidden="1" customWidth="1"/>
    <col min="14722" max="14722" width="10.5703125" style="7" customWidth="1"/>
    <col min="14723" max="14941" width="9.140625" style="7"/>
    <col min="14942" max="14942" width="4" style="7" customWidth="1"/>
    <col min="14943" max="14943" width="0" style="7" hidden="1" customWidth="1"/>
    <col min="14944" max="14944" width="39.42578125" style="7" customWidth="1"/>
    <col min="14945" max="14945" width="7.7109375" style="7" customWidth="1"/>
    <col min="14946" max="14946" width="5.85546875" style="7" customWidth="1"/>
    <col min="14947" max="14947" width="5.42578125" style="7" customWidth="1"/>
    <col min="14948" max="14952" width="0" style="7" hidden="1" customWidth="1"/>
    <col min="14953" max="14953" width="11.85546875" style="7" customWidth="1"/>
    <col min="14954" max="14954" width="10.5703125" style="7" customWidth="1"/>
    <col min="14955" max="14955" width="12.7109375" style="7" customWidth="1"/>
    <col min="14956" max="14956" width="11.7109375" style="7" customWidth="1"/>
    <col min="14957" max="14957" width="10.140625" style="7" customWidth="1"/>
    <col min="14958" max="14958" width="0.140625" style="7" customWidth="1"/>
    <col min="14959" max="14959" width="11.7109375" style="7" customWidth="1"/>
    <col min="14960" max="14960" width="10.5703125" style="7" customWidth="1"/>
    <col min="14961" max="14961" width="10" style="7" customWidth="1"/>
    <col min="14962" max="14962" width="9.85546875" style="7" customWidth="1"/>
    <col min="14963" max="14963" width="12.7109375" style="7" customWidth="1"/>
    <col min="14964" max="14964" width="8.42578125" style="7" customWidth="1"/>
    <col min="14965" max="14977" width="0" style="7" hidden="1" customWidth="1"/>
    <col min="14978" max="14978" width="10.5703125" style="7" customWidth="1"/>
    <col min="14979" max="15197" width="9.140625" style="7"/>
    <col min="15198" max="15198" width="4" style="7" customWidth="1"/>
    <col min="15199" max="15199" width="0" style="7" hidden="1" customWidth="1"/>
    <col min="15200" max="15200" width="39.42578125" style="7" customWidth="1"/>
    <col min="15201" max="15201" width="7.7109375" style="7" customWidth="1"/>
    <col min="15202" max="15202" width="5.85546875" style="7" customWidth="1"/>
    <col min="15203" max="15203" width="5.42578125" style="7" customWidth="1"/>
    <col min="15204" max="15208" width="0" style="7" hidden="1" customWidth="1"/>
    <col min="15209" max="15209" width="11.85546875" style="7" customWidth="1"/>
    <col min="15210" max="15210" width="10.5703125" style="7" customWidth="1"/>
    <col min="15211" max="15211" width="12.7109375" style="7" customWidth="1"/>
    <col min="15212" max="15212" width="11.7109375" style="7" customWidth="1"/>
    <col min="15213" max="15213" width="10.140625" style="7" customWidth="1"/>
    <col min="15214" max="15214" width="0.140625" style="7" customWidth="1"/>
    <col min="15215" max="15215" width="11.7109375" style="7" customWidth="1"/>
    <col min="15216" max="15216" width="10.5703125" style="7" customWidth="1"/>
    <col min="15217" max="15217" width="10" style="7" customWidth="1"/>
    <col min="15218" max="15218" width="9.85546875" style="7" customWidth="1"/>
    <col min="15219" max="15219" width="12.7109375" style="7" customWidth="1"/>
    <col min="15220" max="15220" width="8.42578125" style="7" customWidth="1"/>
    <col min="15221" max="15233" width="0" style="7" hidden="1" customWidth="1"/>
    <col min="15234" max="15234" width="10.5703125" style="7" customWidth="1"/>
    <col min="15235" max="16384" width="9.140625" style="7"/>
  </cols>
  <sheetData>
    <row r="1" spans="1:34" s="1" customFormat="1" ht="36" customHeight="1" x14ac:dyDescent="0.3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</row>
    <row r="2" spans="1:34" ht="15" customHeight="1" x14ac:dyDescent="0.25">
      <c r="A2" s="200"/>
      <c r="B2" s="202" t="s">
        <v>1</v>
      </c>
      <c r="C2" s="204" t="s">
        <v>2</v>
      </c>
      <c r="D2" s="204" t="s">
        <v>3</v>
      </c>
      <c r="E2" s="204" t="s">
        <v>4</v>
      </c>
      <c r="F2" s="206" t="s">
        <v>5</v>
      </c>
      <c r="G2" s="2"/>
      <c r="H2" s="208" t="s">
        <v>6</v>
      </c>
      <c r="I2" s="210" t="s">
        <v>7</v>
      </c>
      <c r="J2" s="212" t="s">
        <v>8</v>
      </c>
      <c r="K2" s="3"/>
      <c r="L2" s="212" t="s">
        <v>9</v>
      </c>
      <c r="M2" s="212" t="s">
        <v>10</v>
      </c>
      <c r="N2" s="212" t="s">
        <v>11</v>
      </c>
      <c r="O2" s="204" t="s">
        <v>12</v>
      </c>
      <c r="P2" s="204"/>
      <c r="Q2" s="204"/>
      <c r="R2" s="204"/>
      <c r="S2" s="4"/>
      <c r="T2" s="215" t="s">
        <v>13</v>
      </c>
      <c r="U2" s="216"/>
      <c r="V2" s="216"/>
      <c r="W2" s="217"/>
      <c r="X2" s="228"/>
      <c r="Y2" s="220" t="s">
        <v>14</v>
      </c>
      <c r="Z2" s="222" t="s">
        <v>15</v>
      </c>
      <c r="AA2" s="222" t="s">
        <v>16</v>
      </c>
      <c r="AB2" s="222" t="s">
        <v>17</v>
      </c>
      <c r="AC2" s="224" t="s">
        <v>18</v>
      </c>
      <c r="AD2" s="226"/>
      <c r="AE2" s="5"/>
      <c r="AF2" s="5"/>
      <c r="AG2" s="6"/>
      <c r="AH2" s="218" t="s">
        <v>19</v>
      </c>
    </row>
    <row r="3" spans="1:34" ht="126.75" customHeight="1" thickBot="1" x14ac:dyDescent="0.3">
      <c r="A3" s="201"/>
      <c r="B3" s="203"/>
      <c r="C3" s="205"/>
      <c r="D3" s="205"/>
      <c r="E3" s="205"/>
      <c r="F3" s="207"/>
      <c r="G3" s="8" t="s">
        <v>20</v>
      </c>
      <c r="H3" s="209"/>
      <c r="I3" s="211"/>
      <c r="J3" s="213"/>
      <c r="K3" s="3" t="s">
        <v>8</v>
      </c>
      <c r="L3" s="213"/>
      <c r="M3" s="214"/>
      <c r="N3" s="213"/>
      <c r="O3" s="9" t="s">
        <v>11</v>
      </c>
      <c r="P3" s="10" t="s">
        <v>21</v>
      </c>
      <c r="Q3" s="10" t="s">
        <v>22</v>
      </c>
      <c r="R3" s="197" t="s">
        <v>23</v>
      </c>
      <c r="S3" s="12" t="s">
        <v>24</v>
      </c>
      <c r="T3" s="198" t="s">
        <v>25</v>
      </c>
      <c r="U3" s="14" t="s">
        <v>2</v>
      </c>
      <c r="V3" s="14" t="s">
        <v>3</v>
      </c>
      <c r="W3" s="14" t="s">
        <v>4</v>
      </c>
      <c r="X3" s="229"/>
      <c r="Y3" s="221"/>
      <c r="Z3" s="223"/>
      <c r="AA3" s="223"/>
      <c r="AB3" s="223"/>
      <c r="AC3" s="225"/>
      <c r="AD3" s="227"/>
      <c r="AH3" s="218"/>
    </row>
    <row r="4" spans="1:34" ht="16.5" customHeight="1" thickBot="1" x14ac:dyDescent="0.35">
      <c r="A4" s="16"/>
      <c r="B4" s="17"/>
      <c r="C4" s="18"/>
      <c r="D4" s="18"/>
      <c r="E4" s="18"/>
      <c r="F4" s="19"/>
      <c r="G4" s="17"/>
      <c r="H4" s="20">
        <v>1</v>
      </c>
      <c r="I4" s="21"/>
      <c r="J4" s="22"/>
      <c r="K4" s="23"/>
      <c r="L4" s="22"/>
      <c r="M4" s="22"/>
      <c r="N4" s="22">
        <v>2</v>
      </c>
      <c r="O4" s="22">
        <v>2</v>
      </c>
      <c r="P4" s="24"/>
      <c r="Q4" s="22"/>
      <c r="R4" s="22"/>
      <c r="S4" s="25">
        <v>3</v>
      </c>
      <c r="T4" s="19"/>
      <c r="U4" s="26"/>
      <c r="V4" s="27"/>
      <c r="W4" s="27"/>
      <c r="X4" s="28"/>
      <c r="Y4" s="29"/>
      <c r="Z4" s="30"/>
      <c r="AA4" s="30"/>
      <c r="AB4" s="30"/>
      <c r="AC4" s="31"/>
      <c r="AD4" s="32"/>
      <c r="AH4" s="33"/>
    </row>
    <row r="5" spans="1:34" x14ac:dyDescent="0.3">
      <c r="A5" s="230">
        <v>1</v>
      </c>
      <c r="B5" s="34" t="s">
        <v>26</v>
      </c>
      <c r="C5" s="34" t="s">
        <v>27</v>
      </c>
      <c r="D5" s="35" t="s">
        <v>28</v>
      </c>
      <c r="E5" s="35" t="s">
        <v>29</v>
      </c>
      <c r="F5" s="36" t="s">
        <v>30</v>
      </c>
      <c r="G5" s="37" t="s">
        <v>31</v>
      </c>
      <c r="H5" s="38">
        <f t="shared" ref="H5:H68" si="0">O5+S5</f>
        <v>5988.1100000000006</v>
      </c>
      <c r="I5" s="39"/>
      <c r="J5" s="40">
        <f>4541.35+46.64+15.52</f>
        <v>4603.5100000000011</v>
      </c>
      <c r="K5" s="41">
        <f>I5+J5</f>
        <v>4603.5100000000011</v>
      </c>
      <c r="L5" s="42">
        <v>798.9</v>
      </c>
      <c r="M5" s="42">
        <v>110.3</v>
      </c>
      <c r="N5" s="40">
        <v>696</v>
      </c>
      <c r="O5" s="43">
        <f t="shared" ref="O5:O68" si="1">P5+Q5+R5</f>
        <v>585.70000000000005</v>
      </c>
      <c r="P5" s="40">
        <v>575</v>
      </c>
      <c r="Q5" s="40"/>
      <c r="R5" s="40">
        <v>10.7</v>
      </c>
      <c r="S5" s="44">
        <f t="shared" ref="S5:S68" si="2">J5+L5+I5</f>
        <v>5402.4100000000008</v>
      </c>
      <c r="T5" s="35" t="s">
        <v>32</v>
      </c>
      <c r="U5" s="45" t="s">
        <v>33</v>
      </c>
      <c r="V5" s="46" t="s">
        <v>28</v>
      </c>
      <c r="W5" s="46" t="s">
        <v>29</v>
      </c>
      <c r="X5" s="45" t="s">
        <v>29</v>
      </c>
      <c r="Y5" s="47" t="e">
        <f>#REF!-H5</f>
        <v>#REF!</v>
      </c>
      <c r="Z5" s="48" t="e">
        <f>#REF!-J5</f>
        <v>#REF!</v>
      </c>
      <c r="AA5" s="49" t="e">
        <f>#REF!-L5</f>
        <v>#REF!</v>
      </c>
      <c r="AB5" s="48" t="e">
        <f>#REF!-N5</f>
        <v>#REF!</v>
      </c>
      <c r="AC5" s="47" t="e">
        <f>(#REF!+#REF!)-S5</f>
        <v>#REF!</v>
      </c>
      <c r="AD5" s="50" t="e">
        <f>AC5/(#REF!+#REF!)*100</f>
        <v>#REF!</v>
      </c>
      <c r="AH5" s="33" t="s">
        <v>34</v>
      </c>
    </row>
    <row r="6" spans="1:34" s="69" customFormat="1" x14ac:dyDescent="0.3">
      <c r="A6" s="231">
        <v>2</v>
      </c>
      <c r="B6" s="51" t="s">
        <v>35</v>
      </c>
      <c r="C6" s="51" t="s">
        <v>27</v>
      </c>
      <c r="D6" s="52" t="s">
        <v>36</v>
      </c>
      <c r="E6" s="52" t="s">
        <v>37</v>
      </c>
      <c r="F6" s="53" t="s">
        <v>30</v>
      </c>
      <c r="G6" s="54" t="s">
        <v>31</v>
      </c>
      <c r="H6" s="55">
        <f t="shared" si="0"/>
        <v>18288.650000000001</v>
      </c>
      <c r="I6" s="56">
        <v>20.92</v>
      </c>
      <c r="J6" s="57">
        <f>12970.53</f>
        <v>12970.53</v>
      </c>
      <c r="K6" s="58">
        <f t="shared" ref="K6:K69" si="3">I6+J6</f>
        <v>12991.45</v>
      </c>
      <c r="L6" s="59">
        <v>3082.4</v>
      </c>
      <c r="M6" s="59">
        <v>115.8</v>
      </c>
      <c r="N6" s="57"/>
      <c r="O6" s="60">
        <f t="shared" si="1"/>
        <v>2214.8000000000002</v>
      </c>
      <c r="P6" s="57">
        <v>1733.8</v>
      </c>
      <c r="Q6" s="57">
        <v>28.8</v>
      </c>
      <c r="R6" s="57">
        <f>502.48-50.28</f>
        <v>452.20000000000005</v>
      </c>
      <c r="S6" s="61">
        <f t="shared" si="2"/>
        <v>16073.85</v>
      </c>
      <c r="T6" s="52" t="s">
        <v>38</v>
      </c>
      <c r="U6" s="51"/>
      <c r="V6" s="52"/>
      <c r="W6" s="52"/>
      <c r="X6" s="51"/>
      <c r="Y6" s="62"/>
      <c r="Z6" s="63"/>
      <c r="AA6" s="64"/>
      <c r="AB6" s="63"/>
      <c r="AC6" s="62"/>
      <c r="AD6" s="65"/>
      <c r="AE6" s="66"/>
      <c r="AF6" s="66"/>
      <c r="AG6" s="67"/>
      <c r="AH6" s="68" t="s">
        <v>39</v>
      </c>
    </row>
    <row r="7" spans="1:34" ht="18" customHeight="1" x14ac:dyDescent="0.3">
      <c r="A7" s="230">
        <v>3</v>
      </c>
      <c r="B7" s="34" t="s">
        <v>26</v>
      </c>
      <c r="C7" s="34" t="s">
        <v>27</v>
      </c>
      <c r="D7" s="35" t="s">
        <v>40</v>
      </c>
      <c r="E7" s="35" t="s">
        <v>29</v>
      </c>
      <c r="F7" s="36" t="s">
        <v>30</v>
      </c>
      <c r="G7" s="37" t="s">
        <v>31</v>
      </c>
      <c r="H7" s="38">
        <f t="shared" si="0"/>
        <v>6442.47</v>
      </c>
      <c r="I7" s="39"/>
      <c r="J7" s="40">
        <v>4639.87</v>
      </c>
      <c r="K7" s="41">
        <f t="shared" si="3"/>
        <v>4639.87</v>
      </c>
      <c r="L7" s="42">
        <v>879.5</v>
      </c>
      <c r="M7" s="42"/>
      <c r="N7" s="42">
        <v>923.1</v>
      </c>
      <c r="O7" s="43">
        <f t="shared" si="1"/>
        <v>923.1</v>
      </c>
      <c r="P7" s="42">
        <v>877</v>
      </c>
      <c r="Q7" s="42"/>
      <c r="R7" s="42">
        <v>46.1</v>
      </c>
      <c r="S7" s="44">
        <f t="shared" si="2"/>
        <v>5519.37</v>
      </c>
      <c r="T7" s="35" t="s">
        <v>41</v>
      </c>
      <c r="U7" s="70" t="s">
        <v>33</v>
      </c>
      <c r="V7" s="71" t="s">
        <v>40</v>
      </c>
      <c r="W7" s="71" t="s">
        <v>29</v>
      </c>
      <c r="X7" s="70" t="s">
        <v>29</v>
      </c>
      <c r="Y7" s="72" t="e">
        <f>#REF!-H7</f>
        <v>#REF!</v>
      </c>
      <c r="Z7" s="73" t="e">
        <f>#REF!-J7</f>
        <v>#REF!</v>
      </c>
      <c r="AA7" s="74" t="e">
        <f>#REF!-L7</f>
        <v>#REF!</v>
      </c>
      <c r="AB7" s="73" t="e">
        <f>#REF!-N7</f>
        <v>#REF!</v>
      </c>
      <c r="AC7" s="72" t="e">
        <f>(#REF!+#REF!)-S7</f>
        <v>#REF!</v>
      </c>
      <c r="AD7" s="50" t="e">
        <f>AC7/(#REF!+#REF!)*100</f>
        <v>#REF!</v>
      </c>
      <c r="AH7" s="33" t="s">
        <v>34</v>
      </c>
    </row>
    <row r="8" spans="1:34" ht="18.75" customHeight="1" x14ac:dyDescent="0.3">
      <c r="A8" s="230">
        <v>4</v>
      </c>
      <c r="B8" s="34" t="s">
        <v>26</v>
      </c>
      <c r="C8" s="34" t="s">
        <v>27</v>
      </c>
      <c r="D8" s="35" t="s">
        <v>40</v>
      </c>
      <c r="E8" s="35" t="s">
        <v>42</v>
      </c>
      <c r="F8" s="36" t="s">
        <v>43</v>
      </c>
      <c r="G8" s="37" t="s">
        <v>31</v>
      </c>
      <c r="H8" s="38">
        <f t="shared" si="0"/>
        <v>3071.92</v>
      </c>
      <c r="I8" s="39"/>
      <c r="J8" s="40">
        <v>2088.62</v>
      </c>
      <c r="K8" s="41">
        <f t="shared" si="3"/>
        <v>2088.62</v>
      </c>
      <c r="L8" s="42">
        <f>466+69.4</f>
        <v>535.4</v>
      </c>
      <c r="M8" s="42"/>
      <c r="N8" s="42">
        <v>447.9</v>
      </c>
      <c r="O8" s="43">
        <f t="shared" si="1"/>
        <v>447.9</v>
      </c>
      <c r="P8" s="42">
        <v>419</v>
      </c>
      <c r="Q8" s="42"/>
      <c r="R8" s="42">
        <v>28.9</v>
      </c>
      <c r="S8" s="44">
        <f t="shared" si="2"/>
        <v>2624.02</v>
      </c>
      <c r="T8" s="35" t="s">
        <v>44</v>
      </c>
      <c r="U8" s="70" t="s">
        <v>33</v>
      </c>
      <c r="V8" s="71" t="s">
        <v>40</v>
      </c>
      <c r="W8" s="71" t="s">
        <v>29</v>
      </c>
      <c r="X8" s="70" t="s">
        <v>29</v>
      </c>
      <c r="Y8" s="72" t="e">
        <f>#REF!-H8</f>
        <v>#REF!</v>
      </c>
      <c r="Z8" s="73" t="e">
        <f>#REF!-J8</f>
        <v>#REF!</v>
      </c>
      <c r="AA8" s="74" t="e">
        <f>#REF!-L8</f>
        <v>#REF!</v>
      </c>
      <c r="AB8" s="73" t="e">
        <f>#REF!-N8</f>
        <v>#REF!</v>
      </c>
      <c r="AC8" s="72" t="e">
        <f>(#REF!+#REF!)-S8</f>
        <v>#REF!</v>
      </c>
      <c r="AD8" s="50" t="e">
        <f>AC8/(#REF!+#REF!)*100</f>
        <v>#REF!</v>
      </c>
      <c r="AH8" s="33" t="s">
        <v>34</v>
      </c>
    </row>
    <row r="9" spans="1:34" x14ac:dyDescent="0.3">
      <c r="A9" s="232">
        <v>5</v>
      </c>
      <c r="B9" s="34" t="s">
        <v>26</v>
      </c>
      <c r="C9" s="34" t="s">
        <v>27</v>
      </c>
      <c r="D9" s="35" t="s">
        <v>45</v>
      </c>
      <c r="E9" s="35" t="s">
        <v>29</v>
      </c>
      <c r="F9" s="36" t="s">
        <v>30</v>
      </c>
      <c r="G9" s="37"/>
      <c r="H9" s="38">
        <f t="shared" si="0"/>
        <v>7495.8499999999995</v>
      </c>
      <c r="I9" s="39"/>
      <c r="J9" s="40">
        <v>5049.12</v>
      </c>
      <c r="K9" s="41">
        <f t="shared" si="3"/>
        <v>5049.12</v>
      </c>
      <c r="L9" s="42">
        <f>1411.53-1</f>
        <v>1410.53</v>
      </c>
      <c r="M9" s="42">
        <v>233.4</v>
      </c>
      <c r="N9" s="42">
        <v>1582.9</v>
      </c>
      <c r="O9" s="43">
        <f t="shared" si="1"/>
        <v>1036.2</v>
      </c>
      <c r="P9" s="42">
        <v>1006.3</v>
      </c>
      <c r="Q9" s="42">
        <v>29.9</v>
      </c>
      <c r="R9" s="42"/>
      <c r="S9" s="44">
        <f t="shared" si="2"/>
        <v>6459.65</v>
      </c>
      <c r="T9" s="35" t="s">
        <v>46</v>
      </c>
      <c r="U9" s="70" t="s">
        <v>33</v>
      </c>
      <c r="V9" s="71" t="s">
        <v>45</v>
      </c>
      <c r="W9" s="71" t="s">
        <v>29</v>
      </c>
      <c r="X9" s="70" t="s">
        <v>29</v>
      </c>
      <c r="Y9" s="72" t="e">
        <f>#REF!-H9</f>
        <v>#REF!</v>
      </c>
      <c r="Z9" s="73" t="e">
        <f>#REF!-J9</f>
        <v>#REF!</v>
      </c>
      <c r="AA9" s="74" t="e">
        <f>#REF!-L9</f>
        <v>#REF!</v>
      </c>
      <c r="AB9" s="73" t="e">
        <f>#REF!-N9</f>
        <v>#REF!</v>
      </c>
      <c r="AC9" s="72" t="e">
        <f>(#REF!+#REF!)-S9</f>
        <v>#REF!</v>
      </c>
      <c r="AD9" s="50" t="e">
        <f>AC9/(#REF!+#REF!)*100</f>
        <v>#REF!</v>
      </c>
      <c r="AH9" s="33" t="s">
        <v>34</v>
      </c>
    </row>
    <row r="10" spans="1:34" x14ac:dyDescent="0.3">
      <c r="A10" s="230">
        <v>6</v>
      </c>
      <c r="B10" s="34" t="s">
        <v>26</v>
      </c>
      <c r="C10" s="34" t="s">
        <v>27</v>
      </c>
      <c r="D10" s="35" t="s">
        <v>47</v>
      </c>
      <c r="E10" s="35" t="s">
        <v>29</v>
      </c>
      <c r="F10" s="36" t="s">
        <v>30</v>
      </c>
      <c r="G10" s="37" t="s">
        <v>31</v>
      </c>
      <c r="H10" s="38">
        <f t="shared" si="0"/>
        <v>5730.98</v>
      </c>
      <c r="I10" s="39"/>
      <c r="J10" s="40">
        <v>4483.08</v>
      </c>
      <c r="K10" s="41">
        <f t="shared" si="3"/>
        <v>4483.08</v>
      </c>
      <c r="L10" s="42">
        <f>423.9+158.3</f>
        <v>582.20000000000005</v>
      </c>
      <c r="M10" s="42"/>
      <c r="N10" s="42">
        <v>521.20000000000005</v>
      </c>
      <c r="O10" s="43">
        <f t="shared" si="1"/>
        <v>665.7</v>
      </c>
      <c r="P10" s="42">
        <v>584</v>
      </c>
      <c r="Q10" s="42">
        <v>37.200000000000003</v>
      </c>
      <c r="R10" s="42">
        <v>44.5</v>
      </c>
      <c r="S10" s="44">
        <f t="shared" si="2"/>
        <v>5065.28</v>
      </c>
      <c r="T10" s="35" t="s">
        <v>48</v>
      </c>
      <c r="U10" s="70" t="s">
        <v>33</v>
      </c>
      <c r="V10" s="71" t="s">
        <v>47</v>
      </c>
      <c r="W10" s="71" t="s">
        <v>29</v>
      </c>
      <c r="X10" s="70" t="s">
        <v>29</v>
      </c>
      <c r="Y10" s="72" t="e">
        <f>#REF!-H10</f>
        <v>#REF!</v>
      </c>
      <c r="Z10" s="73" t="e">
        <f>#REF!-J10</f>
        <v>#REF!</v>
      </c>
      <c r="AA10" s="74" t="e">
        <f>#REF!-L10</f>
        <v>#REF!</v>
      </c>
      <c r="AB10" s="73" t="e">
        <f>#REF!-N10</f>
        <v>#REF!</v>
      </c>
      <c r="AC10" s="72" t="e">
        <f>(#REF!+#REF!)-S10</f>
        <v>#REF!</v>
      </c>
      <c r="AD10" s="50" t="e">
        <f>AC10/(#REF!+#REF!)*100</f>
        <v>#REF!</v>
      </c>
      <c r="AH10" s="33" t="s">
        <v>34</v>
      </c>
    </row>
    <row r="11" spans="1:34" s="69" customFormat="1" x14ac:dyDescent="0.3">
      <c r="A11" s="75">
        <v>7</v>
      </c>
      <c r="B11" s="34" t="s">
        <v>26</v>
      </c>
      <c r="C11" s="34" t="s">
        <v>27</v>
      </c>
      <c r="D11" s="35" t="s">
        <v>49</v>
      </c>
      <c r="E11" s="35" t="s">
        <v>29</v>
      </c>
      <c r="F11" s="36" t="s">
        <v>30</v>
      </c>
      <c r="G11" s="37" t="s">
        <v>31</v>
      </c>
      <c r="H11" s="38">
        <f t="shared" si="0"/>
        <v>3551.6699999999996</v>
      </c>
      <c r="I11" s="39">
        <v>43.06</v>
      </c>
      <c r="J11" s="40">
        <v>2277.41</v>
      </c>
      <c r="K11" s="41">
        <f t="shared" si="3"/>
        <v>2320.4699999999998</v>
      </c>
      <c r="L11" s="42">
        <v>820.2</v>
      </c>
      <c r="M11" s="42"/>
      <c r="N11" s="42">
        <v>518.20000000000005</v>
      </c>
      <c r="O11" s="43">
        <f t="shared" si="1"/>
        <v>411</v>
      </c>
      <c r="P11" s="42">
        <v>391.8</v>
      </c>
      <c r="Q11" s="42">
        <v>19.2</v>
      </c>
      <c r="R11" s="42"/>
      <c r="S11" s="76">
        <f t="shared" si="2"/>
        <v>3140.6699999999996</v>
      </c>
      <c r="T11" s="35" t="s">
        <v>50</v>
      </c>
      <c r="U11" s="34" t="s">
        <v>33</v>
      </c>
      <c r="V11" s="35" t="s">
        <v>49</v>
      </c>
      <c r="W11" s="35" t="s">
        <v>29</v>
      </c>
      <c r="X11" s="34" t="s">
        <v>29</v>
      </c>
      <c r="Y11" s="77" t="e">
        <f>#REF!-H11</f>
        <v>#REF!</v>
      </c>
      <c r="Z11" s="78" t="e">
        <f>#REF!-J11</f>
        <v>#REF!</v>
      </c>
      <c r="AA11" s="79" t="e">
        <f>#REF!-L11</f>
        <v>#REF!</v>
      </c>
      <c r="AB11" s="78" t="e">
        <f>#REF!-N11</f>
        <v>#REF!</v>
      </c>
      <c r="AC11" s="77" t="e">
        <f>(#REF!+#REF!)-S11</f>
        <v>#REF!</v>
      </c>
      <c r="AD11" s="80" t="e">
        <f>AC11/(#REF!+#REF!)*100</f>
        <v>#REF!</v>
      </c>
      <c r="AG11" s="81"/>
      <c r="AH11" s="33" t="s">
        <v>34</v>
      </c>
    </row>
    <row r="12" spans="1:34" x14ac:dyDescent="0.3">
      <c r="A12" s="232">
        <v>8</v>
      </c>
      <c r="B12" s="34" t="s">
        <v>26</v>
      </c>
      <c r="C12" s="34" t="s">
        <v>27</v>
      </c>
      <c r="D12" s="35" t="s">
        <v>51</v>
      </c>
      <c r="E12" s="35" t="s">
        <v>29</v>
      </c>
      <c r="F12" s="36" t="s">
        <v>30</v>
      </c>
      <c r="G12" s="37" t="s">
        <v>31</v>
      </c>
      <c r="H12" s="38">
        <f t="shared" si="0"/>
        <v>1935.54</v>
      </c>
      <c r="I12" s="39"/>
      <c r="J12" s="40">
        <v>1288.8399999999999</v>
      </c>
      <c r="K12" s="41">
        <f t="shared" si="3"/>
        <v>1288.8399999999999</v>
      </c>
      <c r="L12" s="42">
        <v>386.8</v>
      </c>
      <c r="M12" s="42"/>
      <c r="N12" s="42">
        <v>296.2</v>
      </c>
      <c r="O12" s="43">
        <f t="shared" si="1"/>
        <v>259.89999999999998</v>
      </c>
      <c r="P12" s="42">
        <v>220.5</v>
      </c>
      <c r="Q12" s="42">
        <v>39.4</v>
      </c>
      <c r="R12" s="42"/>
      <c r="S12" s="44">
        <f t="shared" si="2"/>
        <v>1675.6399999999999</v>
      </c>
      <c r="T12" s="35" t="s">
        <v>52</v>
      </c>
      <c r="U12" s="70" t="s">
        <v>33</v>
      </c>
      <c r="V12" s="71" t="s">
        <v>51</v>
      </c>
      <c r="W12" s="71" t="s">
        <v>29</v>
      </c>
      <c r="X12" s="70" t="s">
        <v>29</v>
      </c>
      <c r="Y12" s="72" t="e">
        <f>#REF!-H12</f>
        <v>#REF!</v>
      </c>
      <c r="Z12" s="73" t="e">
        <f>#REF!-J12</f>
        <v>#REF!</v>
      </c>
      <c r="AA12" s="74" t="e">
        <f>#REF!-L12</f>
        <v>#REF!</v>
      </c>
      <c r="AB12" s="73" t="e">
        <f>#REF!-N12</f>
        <v>#REF!</v>
      </c>
      <c r="AC12" s="72" t="e">
        <f>(#REF!+#REF!)-S12</f>
        <v>#REF!</v>
      </c>
      <c r="AD12" s="50" t="e">
        <f>AC12/(#REF!+#REF!)*100</f>
        <v>#REF!</v>
      </c>
      <c r="AH12" s="33" t="s">
        <v>34</v>
      </c>
    </row>
    <row r="13" spans="1:34" x14ac:dyDescent="0.3">
      <c r="A13" s="230">
        <v>9</v>
      </c>
      <c r="B13" s="34" t="s">
        <v>26</v>
      </c>
      <c r="C13" s="34" t="s">
        <v>27</v>
      </c>
      <c r="D13" s="35" t="s">
        <v>53</v>
      </c>
      <c r="E13" s="35" t="s">
        <v>29</v>
      </c>
      <c r="F13" s="36" t="s">
        <v>43</v>
      </c>
      <c r="G13" s="37" t="s">
        <v>31</v>
      </c>
      <c r="H13" s="38">
        <f t="shared" si="0"/>
        <v>1593.62</v>
      </c>
      <c r="I13" s="39"/>
      <c r="J13" s="40">
        <v>1297.1199999999999</v>
      </c>
      <c r="K13" s="41">
        <f t="shared" si="3"/>
        <v>1297.1199999999999</v>
      </c>
      <c r="L13" s="42">
        <v>154.30000000000001</v>
      </c>
      <c r="M13" s="42"/>
      <c r="N13" s="42">
        <v>142.19999999999999</v>
      </c>
      <c r="O13" s="43">
        <f t="shared" si="1"/>
        <v>142.19999999999999</v>
      </c>
      <c r="P13" s="42">
        <v>128</v>
      </c>
      <c r="Q13" s="42">
        <v>14.2</v>
      </c>
      <c r="R13" s="42"/>
      <c r="S13" s="44">
        <f t="shared" si="2"/>
        <v>1451.4199999999998</v>
      </c>
      <c r="T13" s="35" t="s">
        <v>54</v>
      </c>
      <c r="U13" s="70" t="s">
        <v>33</v>
      </c>
      <c r="V13" s="71" t="s">
        <v>53</v>
      </c>
      <c r="W13" s="71" t="s">
        <v>29</v>
      </c>
      <c r="X13" s="70" t="s">
        <v>29</v>
      </c>
      <c r="Y13" s="72" t="e">
        <f>#REF!-H13</f>
        <v>#REF!</v>
      </c>
      <c r="Z13" s="73" t="e">
        <f>#REF!-J13</f>
        <v>#REF!</v>
      </c>
      <c r="AA13" s="74" t="e">
        <f>#REF!-L13</f>
        <v>#REF!</v>
      </c>
      <c r="AB13" s="73" t="e">
        <f>#REF!-N13</f>
        <v>#REF!</v>
      </c>
      <c r="AC13" s="72" t="e">
        <f>(#REF!+#REF!)-S13</f>
        <v>#REF!</v>
      </c>
      <c r="AD13" s="50" t="e">
        <f>AC13/(#REF!+#REF!)*100</f>
        <v>#REF!</v>
      </c>
      <c r="AH13" s="33" t="s">
        <v>34</v>
      </c>
    </row>
    <row r="14" spans="1:34" s="69" customFormat="1" ht="24" customHeight="1" x14ac:dyDescent="0.3">
      <c r="A14" s="233">
        <v>10</v>
      </c>
      <c r="B14" s="82" t="s">
        <v>26</v>
      </c>
      <c r="C14" s="82" t="s">
        <v>27</v>
      </c>
      <c r="D14" s="83" t="s">
        <v>55</v>
      </c>
      <c r="E14" s="83" t="s">
        <v>29</v>
      </c>
      <c r="F14" s="84" t="s">
        <v>56</v>
      </c>
      <c r="G14" s="85" t="s">
        <v>31</v>
      </c>
      <c r="H14" s="86">
        <f t="shared" si="0"/>
        <v>3899.21</v>
      </c>
      <c r="I14" s="87"/>
      <c r="J14" s="88">
        <v>3107.51</v>
      </c>
      <c r="K14" s="89">
        <f t="shared" si="3"/>
        <v>3107.51</v>
      </c>
      <c r="L14" s="90">
        <f>293.1-71.1</f>
        <v>222.00000000000003</v>
      </c>
      <c r="M14" s="90"/>
      <c r="N14" s="90">
        <f>320.36-22.6</f>
        <v>297.76</v>
      </c>
      <c r="O14" s="91">
        <f t="shared" si="1"/>
        <v>569.70000000000005</v>
      </c>
      <c r="P14" s="90">
        <v>533</v>
      </c>
      <c r="Q14" s="90">
        <v>22.7</v>
      </c>
      <c r="R14" s="90">
        <v>14</v>
      </c>
      <c r="S14" s="92">
        <f t="shared" si="2"/>
        <v>3329.51</v>
      </c>
      <c r="T14" s="93" t="s">
        <v>57</v>
      </c>
      <c r="U14" s="82" t="s">
        <v>33</v>
      </c>
      <c r="V14" s="83" t="s">
        <v>55</v>
      </c>
      <c r="W14" s="83" t="s">
        <v>29</v>
      </c>
      <c r="X14" s="82" t="s">
        <v>29</v>
      </c>
      <c r="Y14" s="94" t="e">
        <f>#REF!-H14</f>
        <v>#REF!</v>
      </c>
      <c r="Z14" s="95" t="e">
        <f>#REF!-J14</f>
        <v>#REF!</v>
      </c>
      <c r="AA14" s="96" t="e">
        <f>#REF!-L14</f>
        <v>#REF!</v>
      </c>
      <c r="AB14" s="95" t="e">
        <f>#REF!-N14</f>
        <v>#REF!</v>
      </c>
      <c r="AC14" s="94" t="e">
        <f>(#REF!+#REF!)-S14</f>
        <v>#REF!</v>
      </c>
      <c r="AD14" s="97" t="e">
        <f>AC14/(#REF!+#REF!)*100</f>
        <v>#REF!</v>
      </c>
      <c r="AE14" s="98">
        <f>N14/747.1</f>
        <v>0.39855441038682904</v>
      </c>
      <c r="AF14" s="98"/>
      <c r="AG14" s="99"/>
      <c r="AH14" s="100" t="s">
        <v>58</v>
      </c>
    </row>
    <row r="15" spans="1:34" x14ac:dyDescent="0.3">
      <c r="A15" s="232">
        <v>11</v>
      </c>
      <c r="B15" s="34" t="s">
        <v>26</v>
      </c>
      <c r="C15" s="34" t="s">
        <v>27</v>
      </c>
      <c r="D15" s="35" t="s">
        <v>59</v>
      </c>
      <c r="E15" s="35" t="s">
        <v>29</v>
      </c>
      <c r="F15" s="36" t="s">
        <v>30</v>
      </c>
      <c r="G15" s="37" t="s">
        <v>31</v>
      </c>
      <c r="H15" s="38">
        <f t="shared" si="0"/>
        <v>1612.41</v>
      </c>
      <c r="I15" s="39">
        <v>0</v>
      </c>
      <c r="J15" s="40">
        <f>1258.98+18.03</f>
        <v>1277.01</v>
      </c>
      <c r="K15" s="41">
        <f t="shared" si="3"/>
        <v>1277.01</v>
      </c>
      <c r="L15" s="42">
        <f>178.9-3.5</f>
        <v>175.4</v>
      </c>
      <c r="M15" s="42"/>
      <c r="N15" s="42">
        <v>162.6</v>
      </c>
      <c r="O15" s="43">
        <f t="shared" si="1"/>
        <v>160</v>
      </c>
      <c r="P15" s="42">
        <v>160</v>
      </c>
      <c r="Q15" s="42"/>
      <c r="R15" s="42"/>
      <c r="S15" s="44">
        <f t="shared" si="2"/>
        <v>1452.41</v>
      </c>
      <c r="T15" s="35" t="s">
        <v>60</v>
      </c>
      <c r="U15" s="70" t="s">
        <v>33</v>
      </c>
      <c r="V15" s="71" t="s">
        <v>59</v>
      </c>
      <c r="W15" s="71" t="s">
        <v>29</v>
      </c>
      <c r="X15" s="70" t="s">
        <v>29</v>
      </c>
      <c r="Y15" s="72" t="e">
        <f>#REF!-H15</f>
        <v>#REF!</v>
      </c>
      <c r="Z15" s="73" t="e">
        <f>#REF!-J15</f>
        <v>#REF!</v>
      </c>
      <c r="AA15" s="74" t="e">
        <f>#REF!-L15</f>
        <v>#REF!</v>
      </c>
      <c r="AB15" s="73" t="e">
        <f>#REF!-N15</f>
        <v>#REF!</v>
      </c>
      <c r="AC15" s="72" t="e">
        <f>(#REF!+#REF!)-S15</f>
        <v>#REF!</v>
      </c>
      <c r="AD15" s="50" t="e">
        <f>AC15/(#REF!+#REF!)*100</f>
        <v>#REF!</v>
      </c>
      <c r="AH15" s="33" t="s">
        <v>34</v>
      </c>
    </row>
    <row r="16" spans="1:34" x14ac:dyDescent="0.3">
      <c r="A16" s="230">
        <v>12</v>
      </c>
      <c r="B16" s="34" t="s">
        <v>26</v>
      </c>
      <c r="C16" s="34" t="s">
        <v>27</v>
      </c>
      <c r="D16" s="35" t="s">
        <v>59</v>
      </c>
      <c r="E16" s="35" t="s">
        <v>29</v>
      </c>
      <c r="F16" s="36" t="s">
        <v>43</v>
      </c>
      <c r="G16" s="37" t="s">
        <v>31</v>
      </c>
      <c r="H16" s="38">
        <f t="shared" si="0"/>
        <v>1498.3000000000002</v>
      </c>
      <c r="I16" s="39">
        <v>0</v>
      </c>
      <c r="J16" s="40">
        <f>1141.9+56.7</f>
        <v>1198.6000000000001</v>
      </c>
      <c r="K16" s="41">
        <f t="shared" si="3"/>
        <v>1198.6000000000001</v>
      </c>
      <c r="L16" s="42">
        <v>141.69999999999999</v>
      </c>
      <c r="M16" s="42"/>
      <c r="N16" s="42">
        <v>168.8</v>
      </c>
      <c r="O16" s="43">
        <f t="shared" si="1"/>
        <v>158</v>
      </c>
      <c r="P16" s="42">
        <v>158</v>
      </c>
      <c r="Q16" s="42"/>
      <c r="R16" s="42"/>
      <c r="S16" s="44">
        <f t="shared" si="2"/>
        <v>1340.3000000000002</v>
      </c>
      <c r="T16" s="35" t="s">
        <v>61</v>
      </c>
      <c r="U16" s="70" t="s">
        <v>33</v>
      </c>
      <c r="V16" s="71" t="s">
        <v>59</v>
      </c>
      <c r="W16" s="71" t="s">
        <v>29</v>
      </c>
      <c r="X16" s="70" t="s">
        <v>29</v>
      </c>
      <c r="Y16" s="72" t="e">
        <f>#REF!-H16</f>
        <v>#REF!</v>
      </c>
      <c r="Z16" s="73" t="e">
        <f>#REF!-J16</f>
        <v>#REF!</v>
      </c>
      <c r="AA16" s="74" t="e">
        <f>#REF!-L16</f>
        <v>#REF!</v>
      </c>
      <c r="AB16" s="73" t="e">
        <f>#REF!-N16</f>
        <v>#REF!</v>
      </c>
      <c r="AC16" s="72" t="e">
        <f>(#REF!+#REF!)-S16</f>
        <v>#REF!</v>
      </c>
      <c r="AD16" s="50" t="e">
        <f>AC16/(#REF!+#REF!)*100</f>
        <v>#REF!</v>
      </c>
      <c r="AH16" s="33" t="s">
        <v>34</v>
      </c>
    </row>
    <row r="17" spans="1:34" x14ac:dyDescent="0.3">
      <c r="A17" s="230">
        <v>13</v>
      </c>
      <c r="B17" s="34" t="s">
        <v>26</v>
      </c>
      <c r="C17" s="34" t="s">
        <v>27</v>
      </c>
      <c r="D17" s="35" t="s">
        <v>62</v>
      </c>
      <c r="E17" s="35" t="s">
        <v>29</v>
      </c>
      <c r="F17" s="36" t="s">
        <v>30</v>
      </c>
      <c r="G17" s="37" t="s">
        <v>31</v>
      </c>
      <c r="H17" s="38">
        <f t="shared" si="0"/>
        <v>5093.93</v>
      </c>
      <c r="I17" s="39">
        <f>118.38-24.84</f>
        <v>93.539999999999992</v>
      </c>
      <c r="J17" s="40">
        <f>4305.39+24.84+0.26</f>
        <v>4330.4900000000007</v>
      </c>
      <c r="K17" s="41">
        <f t="shared" si="3"/>
        <v>4424.0300000000007</v>
      </c>
      <c r="L17" s="42">
        <v>0</v>
      </c>
      <c r="M17" s="42"/>
      <c r="N17" s="40">
        <v>669.9</v>
      </c>
      <c r="O17" s="43">
        <f t="shared" si="1"/>
        <v>669.9</v>
      </c>
      <c r="P17" s="40">
        <v>661</v>
      </c>
      <c r="Q17" s="40">
        <v>8.9</v>
      </c>
      <c r="R17" s="40"/>
      <c r="S17" s="44">
        <f t="shared" si="2"/>
        <v>4424.0300000000007</v>
      </c>
      <c r="T17" s="35" t="s">
        <v>63</v>
      </c>
      <c r="U17" s="70" t="s">
        <v>33</v>
      </c>
      <c r="V17" s="71" t="s">
        <v>62</v>
      </c>
      <c r="W17" s="71" t="s">
        <v>29</v>
      </c>
      <c r="X17" s="70" t="s">
        <v>29</v>
      </c>
      <c r="Y17" s="72" t="e">
        <f>#REF!-H17</f>
        <v>#REF!</v>
      </c>
      <c r="Z17" s="73" t="e">
        <f>#REF!-J17</f>
        <v>#REF!</v>
      </c>
      <c r="AA17" s="74" t="e">
        <f>#REF!-L17</f>
        <v>#REF!</v>
      </c>
      <c r="AB17" s="73" t="e">
        <f>#REF!-N17</f>
        <v>#REF!</v>
      </c>
      <c r="AC17" s="72" t="e">
        <f>(#REF!+#REF!)-S17</f>
        <v>#REF!</v>
      </c>
      <c r="AD17" s="50" t="e">
        <f>AC17/(#REF!+#REF!)*100</f>
        <v>#REF!</v>
      </c>
      <c r="AH17" s="33" t="s">
        <v>34</v>
      </c>
    </row>
    <row r="18" spans="1:34" x14ac:dyDescent="0.3">
      <c r="A18" s="232">
        <v>14</v>
      </c>
      <c r="B18" s="34" t="s">
        <v>26</v>
      </c>
      <c r="C18" s="34" t="s">
        <v>64</v>
      </c>
      <c r="D18" s="35" t="s">
        <v>65</v>
      </c>
      <c r="E18" s="35" t="s">
        <v>29</v>
      </c>
      <c r="F18" s="36" t="s">
        <v>30</v>
      </c>
      <c r="G18" s="37" t="s">
        <v>31</v>
      </c>
      <c r="H18" s="38">
        <f t="shared" si="0"/>
        <v>4014.6099999999997</v>
      </c>
      <c r="I18" s="39"/>
      <c r="J18" s="40">
        <f>2958.52-2.8-0.08-0.03</f>
        <v>2955.6099999999997</v>
      </c>
      <c r="K18" s="41">
        <f t="shared" si="3"/>
        <v>2955.6099999999997</v>
      </c>
      <c r="L18" s="42">
        <v>489</v>
      </c>
      <c r="M18" s="42">
        <v>46.2</v>
      </c>
      <c r="N18" s="42">
        <v>576.9</v>
      </c>
      <c r="O18" s="43">
        <f t="shared" si="1"/>
        <v>570</v>
      </c>
      <c r="P18" s="42">
        <v>570</v>
      </c>
      <c r="Q18" s="42"/>
      <c r="R18" s="42">
        <v>0</v>
      </c>
      <c r="S18" s="44">
        <f t="shared" si="2"/>
        <v>3444.6099999999997</v>
      </c>
      <c r="T18" s="35" t="s">
        <v>66</v>
      </c>
      <c r="U18" s="70" t="s">
        <v>67</v>
      </c>
      <c r="V18" s="71" t="s">
        <v>65</v>
      </c>
      <c r="W18" s="71" t="s">
        <v>29</v>
      </c>
      <c r="X18" s="70" t="s">
        <v>29</v>
      </c>
      <c r="Y18" s="72" t="e">
        <f>#REF!-H18</f>
        <v>#REF!</v>
      </c>
      <c r="Z18" s="73" t="e">
        <f>#REF!-J18</f>
        <v>#REF!</v>
      </c>
      <c r="AA18" s="74" t="e">
        <f>#REF!-L18</f>
        <v>#REF!</v>
      </c>
      <c r="AB18" s="73" t="e">
        <f>#REF!-N18</f>
        <v>#REF!</v>
      </c>
      <c r="AC18" s="72" t="e">
        <f>(#REF!+#REF!)-S18</f>
        <v>#REF!</v>
      </c>
      <c r="AD18" s="50" t="e">
        <f>AC18/(#REF!+#REF!)*100</f>
        <v>#REF!</v>
      </c>
      <c r="AH18" s="33" t="s">
        <v>34</v>
      </c>
    </row>
    <row r="19" spans="1:34" x14ac:dyDescent="0.3">
      <c r="A19" s="230">
        <v>15</v>
      </c>
      <c r="B19" s="34" t="s">
        <v>26</v>
      </c>
      <c r="C19" s="34" t="s">
        <v>64</v>
      </c>
      <c r="D19" s="35" t="s">
        <v>65</v>
      </c>
      <c r="E19" s="35" t="s">
        <v>29</v>
      </c>
      <c r="F19" s="36" t="s">
        <v>43</v>
      </c>
      <c r="G19" s="37" t="s">
        <v>31</v>
      </c>
      <c r="H19" s="38">
        <f t="shared" si="0"/>
        <v>848.43000000000006</v>
      </c>
      <c r="I19" s="39"/>
      <c r="J19" s="40">
        <v>633.23</v>
      </c>
      <c r="K19" s="41">
        <f t="shared" si="3"/>
        <v>633.23</v>
      </c>
      <c r="L19" s="42">
        <v>55.9</v>
      </c>
      <c r="M19" s="42"/>
      <c r="N19" s="42">
        <v>180.8</v>
      </c>
      <c r="O19" s="43">
        <f t="shared" si="1"/>
        <v>159.30000000000001</v>
      </c>
      <c r="P19" s="42">
        <v>109</v>
      </c>
      <c r="Q19" s="42">
        <v>50.3</v>
      </c>
      <c r="R19" s="42"/>
      <c r="S19" s="44">
        <f t="shared" si="2"/>
        <v>689.13</v>
      </c>
      <c r="T19" s="35" t="s">
        <v>68</v>
      </c>
      <c r="U19" s="70" t="s">
        <v>67</v>
      </c>
      <c r="V19" s="71" t="s">
        <v>65</v>
      </c>
      <c r="W19" s="71" t="s">
        <v>29</v>
      </c>
      <c r="X19" s="70" t="s">
        <v>29</v>
      </c>
      <c r="Y19" s="72" t="e">
        <f>#REF!-H19</f>
        <v>#REF!</v>
      </c>
      <c r="Z19" s="73" t="e">
        <f>#REF!-J19</f>
        <v>#REF!</v>
      </c>
      <c r="AA19" s="74" t="e">
        <f>#REF!-L19</f>
        <v>#REF!</v>
      </c>
      <c r="AB19" s="73" t="e">
        <f>#REF!-N19</f>
        <v>#REF!</v>
      </c>
      <c r="AC19" s="72" t="e">
        <f>(#REF!+#REF!)-S19</f>
        <v>#REF!</v>
      </c>
      <c r="AD19" s="50" t="e">
        <f>AC19/(#REF!+#REF!)*100</f>
        <v>#REF!</v>
      </c>
      <c r="AH19" s="33" t="s">
        <v>34</v>
      </c>
    </row>
    <row r="20" spans="1:34" x14ac:dyDescent="0.3">
      <c r="A20" s="230">
        <v>16</v>
      </c>
      <c r="B20" s="34" t="s">
        <v>26</v>
      </c>
      <c r="C20" s="34" t="s">
        <v>64</v>
      </c>
      <c r="D20" s="35" t="s">
        <v>69</v>
      </c>
      <c r="E20" s="35" t="s">
        <v>29</v>
      </c>
      <c r="F20" s="36" t="s">
        <v>30</v>
      </c>
      <c r="G20" s="37" t="s">
        <v>31</v>
      </c>
      <c r="H20" s="38">
        <f t="shared" si="0"/>
        <v>7808.64</v>
      </c>
      <c r="I20" s="39">
        <f>70.05-28.79</f>
        <v>41.26</v>
      </c>
      <c r="J20" s="40">
        <f>6389.52+0.07+28.79</f>
        <v>6418.38</v>
      </c>
      <c r="K20" s="41">
        <f t="shared" si="3"/>
        <v>6459.64</v>
      </c>
      <c r="L20" s="42">
        <f>212.2+20.8</f>
        <v>233</v>
      </c>
      <c r="M20" s="42">
        <v>118.3</v>
      </c>
      <c r="N20" s="42">
        <v>1553</v>
      </c>
      <c r="O20" s="43">
        <f t="shared" si="1"/>
        <v>1116</v>
      </c>
      <c r="P20" s="42">
        <v>1116</v>
      </c>
      <c r="Q20" s="42"/>
      <c r="R20" s="42">
        <v>0</v>
      </c>
      <c r="S20" s="44">
        <f t="shared" si="2"/>
        <v>6692.64</v>
      </c>
      <c r="T20" s="35" t="s">
        <v>70</v>
      </c>
      <c r="U20" s="70" t="s">
        <v>67</v>
      </c>
      <c r="V20" s="71" t="s">
        <v>69</v>
      </c>
      <c r="W20" s="71" t="s">
        <v>29</v>
      </c>
      <c r="X20" s="70" t="s">
        <v>29</v>
      </c>
      <c r="Y20" s="72" t="e">
        <f>#REF!-H20</f>
        <v>#REF!</v>
      </c>
      <c r="Z20" s="73" t="e">
        <f>#REF!-J20</f>
        <v>#REF!</v>
      </c>
      <c r="AA20" s="74" t="e">
        <f>#REF!-L20</f>
        <v>#REF!</v>
      </c>
      <c r="AB20" s="73" t="e">
        <f>#REF!-N20</f>
        <v>#REF!</v>
      </c>
      <c r="AC20" s="72" t="e">
        <f>(#REF!+#REF!)-S20</f>
        <v>#REF!</v>
      </c>
      <c r="AD20" s="50" t="e">
        <f>AC20/(#REF!+#REF!)*100</f>
        <v>#REF!</v>
      </c>
      <c r="AH20" s="33" t="s">
        <v>34</v>
      </c>
    </row>
    <row r="21" spans="1:34" x14ac:dyDescent="0.3">
      <c r="A21" s="232">
        <v>17</v>
      </c>
      <c r="B21" s="34" t="s">
        <v>26</v>
      </c>
      <c r="C21" s="34" t="s">
        <v>64</v>
      </c>
      <c r="D21" s="35" t="s">
        <v>69</v>
      </c>
      <c r="E21" s="35" t="s">
        <v>29</v>
      </c>
      <c r="F21" s="36" t="s">
        <v>43</v>
      </c>
      <c r="G21" s="37" t="s">
        <v>31</v>
      </c>
      <c r="H21" s="38">
        <f t="shared" si="0"/>
        <v>2213.94</v>
      </c>
      <c r="I21" s="39"/>
      <c r="J21" s="40">
        <v>1672.44</v>
      </c>
      <c r="K21" s="41">
        <f t="shared" si="3"/>
        <v>1672.44</v>
      </c>
      <c r="L21" s="42">
        <v>245.7</v>
      </c>
      <c r="M21" s="42">
        <f>99.9+28.9</f>
        <v>128.80000000000001</v>
      </c>
      <c r="N21" s="42">
        <v>412</v>
      </c>
      <c r="O21" s="43">
        <f t="shared" si="1"/>
        <v>295.8</v>
      </c>
      <c r="P21" s="42">
        <v>295.8</v>
      </c>
      <c r="Q21" s="42">
        <v>0</v>
      </c>
      <c r="R21" s="42"/>
      <c r="S21" s="44">
        <f t="shared" si="2"/>
        <v>1918.14</v>
      </c>
      <c r="T21" s="35" t="s">
        <v>71</v>
      </c>
      <c r="U21" s="70" t="s">
        <v>67</v>
      </c>
      <c r="V21" s="71" t="s">
        <v>69</v>
      </c>
      <c r="W21" s="71" t="s">
        <v>29</v>
      </c>
      <c r="X21" s="70" t="s">
        <v>29</v>
      </c>
      <c r="Y21" s="72" t="e">
        <f>#REF!-H21</f>
        <v>#REF!</v>
      </c>
      <c r="Z21" s="73" t="e">
        <f>#REF!-J21</f>
        <v>#REF!</v>
      </c>
      <c r="AA21" s="74" t="e">
        <f>#REF!-L21</f>
        <v>#REF!</v>
      </c>
      <c r="AB21" s="73" t="e">
        <f>#REF!-N21</f>
        <v>#REF!</v>
      </c>
      <c r="AC21" s="72" t="e">
        <f>(#REF!+#REF!)-S21</f>
        <v>#REF!</v>
      </c>
      <c r="AD21" s="50" t="e">
        <f>AC21/(#REF!+#REF!)*100</f>
        <v>#REF!</v>
      </c>
      <c r="AH21" s="33" t="s">
        <v>34</v>
      </c>
    </row>
    <row r="22" spans="1:34" x14ac:dyDescent="0.3">
      <c r="A22" s="230">
        <v>18</v>
      </c>
      <c r="B22" s="34" t="s">
        <v>26</v>
      </c>
      <c r="C22" s="34" t="s">
        <v>64</v>
      </c>
      <c r="D22" s="35" t="s">
        <v>72</v>
      </c>
      <c r="E22" s="35" t="s">
        <v>29</v>
      </c>
      <c r="F22" s="36" t="s">
        <v>30</v>
      </c>
      <c r="G22" s="37"/>
      <c r="H22" s="38">
        <f t="shared" si="0"/>
        <v>3199.8</v>
      </c>
      <c r="I22" s="39"/>
      <c r="J22" s="40">
        <v>2632.9</v>
      </c>
      <c r="K22" s="41">
        <f t="shared" si="3"/>
        <v>2632.9</v>
      </c>
      <c r="L22" s="42">
        <v>70</v>
      </c>
      <c r="M22" s="42"/>
      <c r="N22" s="40">
        <v>505.3</v>
      </c>
      <c r="O22" s="43">
        <f t="shared" si="1"/>
        <v>496.9</v>
      </c>
      <c r="P22" s="40">
        <v>261.39999999999998</v>
      </c>
      <c r="Q22" s="40">
        <v>143.30000000000001</v>
      </c>
      <c r="R22" s="40">
        <v>92.2</v>
      </c>
      <c r="S22" s="44">
        <f t="shared" si="2"/>
        <v>2702.9</v>
      </c>
      <c r="T22" s="35" t="s">
        <v>73</v>
      </c>
      <c r="U22" s="70" t="s">
        <v>67</v>
      </c>
      <c r="V22" s="71" t="s">
        <v>72</v>
      </c>
      <c r="W22" s="71" t="s">
        <v>29</v>
      </c>
      <c r="X22" s="70" t="s">
        <v>29</v>
      </c>
      <c r="Y22" s="72" t="e">
        <f>#REF!-H22</f>
        <v>#REF!</v>
      </c>
      <c r="Z22" s="73" t="e">
        <f>#REF!-J22</f>
        <v>#REF!</v>
      </c>
      <c r="AA22" s="74" t="e">
        <f>#REF!-L22</f>
        <v>#REF!</v>
      </c>
      <c r="AB22" s="73" t="e">
        <f>#REF!-N22</f>
        <v>#REF!</v>
      </c>
      <c r="AC22" s="72" t="e">
        <f>(#REF!+#REF!)-S22</f>
        <v>#REF!</v>
      </c>
      <c r="AD22" s="50" t="e">
        <f>AC22/(#REF!+#REF!)*100</f>
        <v>#REF!</v>
      </c>
      <c r="AH22" s="33" t="s">
        <v>34</v>
      </c>
    </row>
    <row r="23" spans="1:34" x14ac:dyDescent="0.3">
      <c r="A23" s="230">
        <v>19</v>
      </c>
      <c r="B23" s="34" t="s">
        <v>26</v>
      </c>
      <c r="C23" s="34" t="s">
        <v>64</v>
      </c>
      <c r="D23" s="35" t="s">
        <v>74</v>
      </c>
      <c r="E23" s="35" t="s">
        <v>29</v>
      </c>
      <c r="F23" s="36" t="s">
        <v>30</v>
      </c>
      <c r="G23" s="37" t="s">
        <v>31</v>
      </c>
      <c r="H23" s="38">
        <f t="shared" si="0"/>
        <v>6212.58</v>
      </c>
      <c r="I23" s="39"/>
      <c r="J23" s="40">
        <v>4781.4799999999996</v>
      </c>
      <c r="K23" s="41">
        <f t="shared" si="3"/>
        <v>4781.4799999999996</v>
      </c>
      <c r="L23" s="42">
        <f>656.5-3.8+4.3</f>
        <v>657</v>
      </c>
      <c r="M23" s="42"/>
      <c r="N23" s="40">
        <v>734.3</v>
      </c>
      <c r="O23" s="43">
        <f t="shared" si="1"/>
        <v>774.09999999999991</v>
      </c>
      <c r="P23" s="40">
        <v>724</v>
      </c>
      <c r="Q23" s="40">
        <v>10.3</v>
      </c>
      <c r="R23" s="40">
        <v>39.799999999999997</v>
      </c>
      <c r="S23" s="44">
        <f t="shared" si="2"/>
        <v>5438.48</v>
      </c>
      <c r="T23" s="35" t="s">
        <v>75</v>
      </c>
      <c r="U23" s="70" t="s">
        <v>76</v>
      </c>
      <c r="V23" s="71" t="s">
        <v>77</v>
      </c>
      <c r="W23" s="71" t="s">
        <v>29</v>
      </c>
      <c r="X23" s="70" t="s">
        <v>29</v>
      </c>
      <c r="Y23" s="72" t="e">
        <f>#REF!-H23</f>
        <v>#REF!</v>
      </c>
      <c r="Z23" s="73" t="e">
        <f>#REF!-J23</f>
        <v>#REF!</v>
      </c>
      <c r="AA23" s="74" t="e">
        <f>#REF!-L23</f>
        <v>#REF!</v>
      </c>
      <c r="AB23" s="73" t="e">
        <f>#REF!-N23</f>
        <v>#REF!</v>
      </c>
      <c r="AC23" s="72" t="e">
        <f>(#REF!+#REF!)-S23</f>
        <v>#REF!</v>
      </c>
      <c r="AD23" s="50" t="e">
        <f>AC23/(#REF!+#REF!)*100</f>
        <v>#REF!</v>
      </c>
      <c r="AH23" s="33" t="s">
        <v>34</v>
      </c>
    </row>
    <row r="24" spans="1:34" s="69" customFormat="1" x14ac:dyDescent="0.3">
      <c r="A24" s="101">
        <v>20</v>
      </c>
      <c r="B24" s="34" t="s">
        <v>26</v>
      </c>
      <c r="C24" s="34" t="s">
        <v>64</v>
      </c>
      <c r="D24" s="35" t="s">
        <v>78</v>
      </c>
      <c r="E24" s="35" t="s">
        <v>29</v>
      </c>
      <c r="F24" s="36" t="s">
        <v>30</v>
      </c>
      <c r="G24" s="37"/>
      <c r="H24" s="38">
        <f t="shared" si="0"/>
        <v>2424.4</v>
      </c>
      <c r="I24" s="39"/>
      <c r="J24" s="40">
        <v>1979</v>
      </c>
      <c r="K24" s="41">
        <f t="shared" si="3"/>
        <v>1979</v>
      </c>
      <c r="L24" s="42">
        <v>42.7</v>
      </c>
      <c r="M24" s="42"/>
      <c r="N24" s="40">
        <v>343.2</v>
      </c>
      <c r="O24" s="43">
        <f t="shared" si="1"/>
        <v>402.7</v>
      </c>
      <c r="P24" s="40">
        <v>294</v>
      </c>
      <c r="Q24" s="40"/>
      <c r="R24" s="40">
        <v>108.7</v>
      </c>
      <c r="S24" s="76">
        <f t="shared" si="2"/>
        <v>2021.7</v>
      </c>
      <c r="T24" s="35" t="s">
        <v>79</v>
      </c>
      <c r="U24" s="34" t="s">
        <v>67</v>
      </c>
      <c r="V24" s="35" t="s">
        <v>78</v>
      </c>
      <c r="W24" s="35" t="s">
        <v>29</v>
      </c>
      <c r="X24" s="34" t="s">
        <v>29</v>
      </c>
      <c r="Y24" s="77" t="e">
        <f>#REF!-H24</f>
        <v>#REF!</v>
      </c>
      <c r="Z24" s="78" t="e">
        <f>#REF!-J24</f>
        <v>#REF!</v>
      </c>
      <c r="AA24" s="79" t="e">
        <f>#REF!-L24</f>
        <v>#REF!</v>
      </c>
      <c r="AB24" s="78" t="e">
        <f>#REF!-N24</f>
        <v>#REF!</v>
      </c>
      <c r="AC24" s="77" t="e">
        <f>(#REF!+#REF!)-S24</f>
        <v>#REF!</v>
      </c>
      <c r="AD24" s="80" t="e">
        <f>AC24/(#REF!+#REF!)*100</f>
        <v>#REF!</v>
      </c>
      <c r="AG24" s="81"/>
      <c r="AH24" s="33" t="s">
        <v>34</v>
      </c>
    </row>
    <row r="25" spans="1:34" s="69" customFormat="1" x14ac:dyDescent="0.3">
      <c r="A25" s="75">
        <v>21</v>
      </c>
      <c r="B25" s="34" t="s">
        <v>26</v>
      </c>
      <c r="C25" s="34" t="s">
        <v>64</v>
      </c>
      <c r="D25" s="35" t="s">
        <v>80</v>
      </c>
      <c r="E25" s="35" t="s">
        <v>29</v>
      </c>
      <c r="F25" s="36" t="s">
        <v>30</v>
      </c>
      <c r="G25" s="37"/>
      <c r="H25" s="38">
        <f t="shared" si="0"/>
        <v>4149.55</v>
      </c>
      <c r="I25" s="39"/>
      <c r="J25" s="40">
        <v>2917.75</v>
      </c>
      <c r="K25" s="41">
        <f t="shared" si="3"/>
        <v>2917.75</v>
      </c>
      <c r="L25" s="42">
        <v>908.9</v>
      </c>
      <c r="M25" s="42">
        <v>63.3</v>
      </c>
      <c r="N25" s="40">
        <v>329</v>
      </c>
      <c r="O25" s="43">
        <f t="shared" si="1"/>
        <v>322.89999999999998</v>
      </c>
      <c r="P25" s="40">
        <v>322.89999999999998</v>
      </c>
      <c r="Q25" s="40"/>
      <c r="R25" s="40"/>
      <c r="S25" s="76">
        <f t="shared" si="2"/>
        <v>3826.65</v>
      </c>
      <c r="T25" s="35" t="s">
        <v>81</v>
      </c>
      <c r="U25" s="34" t="s">
        <v>67</v>
      </c>
      <c r="V25" s="35" t="s">
        <v>80</v>
      </c>
      <c r="W25" s="35" t="s">
        <v>29</v>
      </c>
      <c r="X25" s="34" t="s">
        <v>29</v>
      </c>
      <c r="Y25" s="77" t="e">
        <f>#REF!-H25</f>
        <v>#REF!</v>
      </c>
      <c r="Z25" s="78" t="e">
        <f>#REF!-J25</f>
        <v>#REF!</v>
      </c>
      <c r="AA25" s="79" t="e">
        <f>#REF!-L25</f>
        <v>#REF!</v>
      </c>
      <c r="AB25" s="78" t="e">
        <f>#REF!-N25</f>
        <v>#REF!</v>
      </c>
      <c r="AC25" s="77" t="e">
        <f>(#REF!+#REF!)-S25</f>
        <v>#REF!</v>
      </c>
      <c r="AD25" s="80" t="e">
        <f>AC25/(#REF!+#REF!)*100</f>
        <v>#REF!</v>
      </c>
      <c r="AG25" s="81"/>
      <c r="AH25" s="33" t="s">
        <v>34</v>
      </c>
    </row>
    <row r="26" spans="1:34" s="69" customFormat="1" x14ac:dyDescent="0.3">
      <c r="A26" s="75">
        <v>22</v>
      </c>
      <c r="B26" s="34" t="s">
        <v>26</v>
      </c>
      <c r="C26" s="34" t="s">
        <v>64</v>
      </c>
      <c r="D26" s="35" t="s">
        <v>77</v>
      </c>
      <c r="E26" s="35" t="s">
        <v>29</v>
      </c>
      <c r="F26" s="36" t="s">
        <v>30</v>
      </c>
      <c r="G26" s="37"/>
      <c r="H26" s="38">
        <f t="shared" si="0"/>
        <v>5984.7999999999993</v>
      </c>
      <c r="I26" s="39"/>
      <c r="J26" s="40">
        <v>4751.7</v>
      </c>
      <c r="K26" s="41">
        <f t="shared" si="3"/>
        <v>4751.7</v>
      </c>
      <c r="L26" s="42">
        <f>710.6-1.2</f>
        <v>709.4</v>
      </c>
      <c r="M26" s="42"/>
      <c r="N26" s="40">
        <v>520.5</v>
      </c>
      <c r="O26" s="43">
        <f t="shared" si="1"/>
        <v>523.70000000000005</v>
      </c>
      <c r="P26" s="40">
        <v>484</v>
      </c>
      <c r="Q26" s="40">
        <f>36.5+3.2</f>
        <v>39.700000000000003</v>
      </c>
      <c r="R26" s="40"/>
      <c r="S26" s="76">
        <f t="shared" si="2"/>
        <v>5461.0999999999995</v>
      </c>
      <c r="T26" s="35" t="s">
        <v>82</v>
      </c>
      <c r="U26" s="34" t="s">
        <v>67</v>
      </c>
      <c r="V26" s="35" t="s">
        <v>77</v>
      </c>
      <c r="W26" s="35" t="s">
        <v>29</v>
      </c>
      <c r="X26" s="34" t="s">
        <v>29</v>
      </c>
      <c r="Y26" s="77" t="e">
        <f>#REF!-H26</f>
        <v>#REF!</v>
      </c>
      <c r="Z26" s="78" t="e">
        <f>#REF!-J26</f>
        <v>#REF!</v>
      </c>
      <c r="AA26" s="79" t="e">
        <f>#REF!-L26</f>
        <v>#REF!</v>
      </c>
      <c r="AB26" s="78" t="e">
        <f>#REF!-N26</f>
        <v>#REF!</v>
      </c>
      <c r="AC26" s="77" t="e">
        <f>(#REF!+#REF!)-S26</f>
        <v>#REF!</v>
      </c>
      <c r="AD26" s="80" t="e">
        <f>AC26/(#REF!+#REF!)*100</f>
        <v>#REF!</v>
      </c>
      <c r="AG26" s="81"/>
      <c r="AH26" s="33" t="s">
        <v>34</v>
      </c>
    </row>
    <row r="27" spans="1:34" s="69" customFormat="1" x14ac:dyDescent="0.3">
      <c r="A27" s="101">
        <v>23</v>
      </c>
      <c r="B27" s="34" t="s">
        <v>26</v>
      </c>
      <c r="C27" s="34" t="s">
        <v>64</v>
      </c>
      <c r="D27" s="35" t="s">
        <v>83</v>
      </c>
      <c r="E27" s="35" t="s">
        <v>29</v>
      </c>
      <c r="F27" s="36" t="s">
        <v>30</v>
      </c>
      <c r="G27" s="37" t="s">
        <v>31</v>
      </c>
      <c r="H27" s="38">
        <f t="shared" si="0"/>
        <v>982.4799999999999</v>
      </c>
      <c r="I27" s="39"/>
      <c r="J27" s="40">
        <v>870.18</v>
      </c>
      <c r="K27" s="41">
        <f t="shared" si="3"/>
        <v>870.18</v>
      </c>
      <c r="L27" s="42">
        <v>0</v>
      </c>
      <c r="M27" s="42"/>
      <c r="N27" s="40">
        <v>115.5</v>
      </c>
      <c r="O27" s="43">
        <f t="shared" si="1"/>
        <v>112.3</v>
      </c>
      <c r="P27" s="40">
        <v>102</v>
      </c>
      <c r="Q27" s="40">
        <v>10.3</v>
      </c>
      <c r="R27" s="40"/>
      <c r="S27" s="76">
        <f t="shared" si="2"/>
        <v>870.18</v>
      </c>
      <c r="T27" s="35" t="s">
        <v>84</v>
      </c>
      <c r="U27" s="34" t="s">
        <v>67</v>
      </c>
      <c r="V27" s="35" t="s">
        <v>83</v>
      </c>
      <c r="W27" s="35" t="s">
        <v>29</v>
      </c>
      <c r="X27" s="34" t="s">
        <v>29</v>
      </c>
      <c r="Y27" s="77" t="e">
        <f>#REF!-H27</f>
        <v>#REF!</v>
      </c>
      <c r="Z27" s="78" t="e">
        <f>#REF!-J27</f>
        <v>#REF!</v>
      </c>
      <c r="AA27" s="79"/>
      <c r="AB27" s="78" t="e">
        <f>#REF!-N27</f>
        <v>#REF!</v>
      </c>
      <c r="AC27" s="77" t="e">
        <f>(#REF!+#REF!)-S27</f>
        <v>#REF!</v>
      </c>
      <c r="AD27" s="80" t="e">
        <f>AC27/(#REF!+#REF!)*100</f>
        <v>#REF!</v>
      </c>
      <c r="AG27" s="81"/>
      <c r="AH27" s="33" t="s">
        <v>34</v>
      </c>
    </row>
    <row r="28" spans="1:34" s="69" customFormat="1" x14ac:dyDescent="0.3">
      <c r="A28" s="75">
        <v>24</v>
      </c>
      <c r="B28" s="34" t="s">
        <v>26</v>
      </c>
      <c r="C28" s="34" t="s">
        <v>64</v>
      </c>
      <c r="D28" s="35" t="s">
        <v>85</v>
      </c>
      <c r="E28" s="35" t="s">
        <v>29</v>
      </c>
      <c r="F28" s="36" t="s">
        <v>30</v>
      </c>
      <c r="G28" s="37" t="s">
        <v>31</v>
      </c>
      <c r="H28" s="38">
        <f t="shared" si="0"/>
        <v>4657.4800000000005</v>
      </c>
      <c r="I28" s="39">
        <v>0</v>
      </c>
      <c r="J28" s="40">
        <v>4155.68</v>
      </c>
      <c r="K28" s="41">
        <f t="shared" si="3"/>
        <v>4155.68</v>
      </c>
      <c r="L28" s="42">
        <v>0</v>
      </c>
      <c r="M28" s="42"/>
      <c r="N28" s="40">
        <v>501.8</v>
      </c>
      <c r="O28" s="43">
        <f t="shared" si="1"/>
        <v>501.8</v>
      </c>
      <c r="P28" s="40">
        <v>460</v>
      </c>
      <c r="Q28" s="40">
        <v>41.8</v>
      </c>
      <c r="R28" s="40"/>
      <c r="S28" s="76">
        <f t="shared" si="2"/>
        <v>4155.68</v>
      </c>
      <c r="T28" s="35" t="s">
        <v>86</v>
      </c>
      <c r="U28" s="34" t="s">
        <v>67</v>
      </c>
      <c r="V28" s="35" t="s">
        <v>85</v>
      </c>
      <c r="W28" s="35" t="s">
        <v>29</v>
      </c>
      <c r="X28" s="34" t="s">
        <v>29</v>
      </c>
      <c r="Y28" s="77" t="e">
        <f>#REF!-H28</f>
        <v>#REF!</v>
      </c>
      <c r="Z28" s="78" t="e">
        <f>#REF!-J28</f>
        <v>#REF!</v>
      </c>
      <c r="AA28" s="79" t="e">
        <f>#REF!-L28</f>
        <v>#REF!</v>
      </c>
      <c r="AB28" s="78" t="e">
        <f>#REF!-N28</f>
        <v>#REF!</v>
      </c>
      <c r="AC28" s="77" t="e">
        <f>(#REF!+#REF!)-S28</f>
        <v>#REF!</v>
      </c>
      <c r="AD28" s="80" t="e">
        <f>AC28/(#REF!+#REF!)*100</f>
        <v>#REF!</v>
      </c>
      <c r="AG28" s="81"/>
      <c r="AH28" s="33" t="s">
        <v>34</v>
      </c>
    </row>
    <row r="29" spans="1:34" s="69" customFormat="1" x14ac:dyDescent="0.3">
      <c r="A29" s="75">
        <v>25</v>
      </c>
      <c r="B29" s="34" t="s">
        <v>26</v>
      </c>
      <c r="C29" s="34" t="s">
        <v>87</v>
      </c>
      <c r="D29" s="35" t="s">
        <v>88</v>
      </c>
      <c r="E29" s="35" t="s">
        <v>29</v>
      </c>
      <c r="F29" s="36" t="s">
        <v>30</v>
      </c>
      <c r="G29" s="37" t="s">
        <v>31</v>
      </c>
      <c r="H29" s="38">
        <f t="shared" si="0"/>
        <v>3573.19</v>
      </c>
      <c r="I29" s="39"/>
      <c r="J29" s="40">
        <v>2764.34</v>
      </c>
      <c r="K29" s="41">
        <f t="shared" si="3"/>
        <v>2764.34</v>
      </c>
      <c r="L29" s="42">
        <f>465.85</f>
        <v>465.85</v>
      </c>
      <c r="M29" s="42"/>
      <c r="N29" s="40">
        <v>343</v>
      </c>
      <c r="O29" s="43">
        <f t="shared" si="1"/>
        <v>343</v>
      </c>
      <c r="P29" s="40">
        <v>343</v>
      </c>
      <c r="Q29" s="40"/>
      <c r="R29" s="40"/>
      <c r="S29" s="76">
        <f t="shared" si="2"/>
        <v>3230.19</v>
      </c>
      <c r="T29" s="35" t="s">
        <v>89</v>
      </c>
      <c r="U29" s="34" t="s">
        <v>90</v>
      </c>
      <c r="V29" s="35" t="s">
        <v>88</v>
      </c>
      <c r="W29" s="35" t="s">
        <v>29</v>
      </c>
      <c r="X29" s="34" t="s">
        <v>29</v>
      </c>
      <c r="Y29" s="77" t="e">
        <f>#REF!-H29</f>
        <v>#REF!</v>
      </c>
      <c r="Z29" s="78" t="e">
        <f>#REF!-J29</f>
        <v>#REF!</v>
      </c>
      <c r="AA29" s="79" t="e">
        <f>#REF!-L29</f>
        <v>#REF!</v>
      </c>
      <c r="AB29" s="78" t="e">
        <f>#REF!-N29</f>
        <v>#REF!</v>
      </c>
      <c r="AC29" s="77" t="e">
        <f>(#REF!+#REF!)-S29</f>
        <v>#REF!</v>
      </c>
      <c r="AD29" s="80" t="e">
        <f>AC29/(#REF!+#REF!)*100</f>
        <v>#REF!</v>
      </c>
      <c r="AG29" s="81"/>
      <c r="AH29" s="33" t="s">
        <v>34</v>
      </c>
    </row>
    <row r="30" spans="1:34" x14ac:dyDescent="0.3">
      <c r="A30" s="232">
        <v>26</v>
      </c>
      <c r="B30" s="34" t="s">
        <v>26</v>
      </c>
      <c r="C30" s="34" t="s">
        <v>87</v>
      </c>
      <c r="D30" s="35" t="s">
        <v>69</v>
      </c>
      <c r="E30" s="35" t="s">
        <v>29</v>
      </c>
      <c r="F30" s="36" t="s">
        <v>30</v>
      </c>
      <c r="G30" s="37" t="s">
        <v>31</v>
      </c>
      <c r="H30" s="38">
        <f t="shared" si="0"/>
        <v>3722.79</v>
      </c>
      <c r="I30" s="39">
        <v>0</v>
      </c>
      <c r="J30" s="40">
        <f>2813.3+14.43</f>
        <v>2827.73</v>
      </c>
      <c r="K30" s="41">
        <f t="shared" si="3"/>
        <v>2827.73</v>
      </c>
      <c r="L30" s="42">
        <v>497.76</v>
      </c>
      <c r="M30" s="42"/>
      <c r="N30" s="40">
        <v>397.3</v>
      </c>
      <c r="O30" s="43">
        <f t="shared" si="1"/>
        <v>397.3</v>
      </c>
      <c r="P30" s="40">
        <v>387</v>
      </c>
      <c r="Q30" s="40">
        <v>10.3</v>
      </c>
      <c r="R30" s="40"/>
      <c r="S30" s="44">
        <f t="shared" si="2"/>
        <v>3325.49</v>
      </c>
      <c r="T30" s="35" t="s">
        <v>91</v>
      </c>
      <c r="U30" s="70" t="s">
        <v>90</v>
      </c>
      <c r="V30" s="71" t="s">
        <v>69</v>
      </c>
      <c r="W30" s="71" t="s">
        <v>29</v>
      </c>
      <c r="X30" s="70" t="s">
        <v>29</v>
      </c>
      <c r="Y30" s="72" t="e">
        <f>#REF!-H30</f>
        <v>#REF!</v>
      </c>
      <c r="Z30" s="73" t="e">
        <f>#REF!-J30</f>
        <v>#REF!</v>
      </c>
      <c r="AA30" s="74" t="e">
        <f>#REF!-L30</f>
        <v>#REF!</v>
      </c>
      <c r="AB30" s="73" t="e">
        <f>#REF!-N30</f>
        <v>#REF!</v>
      </c>
      <c r="AC30" s="72" t="e">
        <f>(#REF!+#REF!)-S30</f>
        <v>#REF!</v>
      </c>
      <c r="AD30" s="50" t="e">
        <f>AC30/(#REF!+#REF!)*100</f>
        <v>#REF!</v>
      </c>
      <c r="AH30" s="33" t="s">
        <v>34</v>
      </c>
    </row>
    <row r="31" spans="1:34" x14ac:dyDescent="0.3">
      <c r="A31" s="230">
        <v>27</v>
      </c>
      <c r="B31" s="34" t="s">
        <v>26</v>
      </c>
      <c r="C31" s="34" t="s">
        <v>87</v>
      </c>
      <c r="D31" s="35" t="s">
        <v>92</v>
      </c>
      <c r="E31" s="35" t="s">
        <v>29</v>
      </c>
      <c r="F31" s="36" t="s">
        <v>30</v>
      </c>
      <c r="G31" s="37" t="s">
        <v>31</v>
      </c>
      <c r="H31" s="38">
        <f t="shared" si="0"/>
        <v>4466.8900000000003</v>
      </c>
      <c r="I31" s="39">
        <v>17.55</v>
      </c>
      <c r="J31" s="40">
        <v>3749.94</v>
      </c>
      <c r="K31" s="41">
        <f t="shared" si="3"/>
        <v>3767.4900000000002</v>
      </c>
      <c r="L31" s="42">
        <f>228.22-37.82</f>
        <v>190.4</v>
      </c>
      <c r="M31" s="42"/>
      <c r="N31" s="40">
        <f>509+37.82</f>
        <v>546.82000000000005</v>
      </c>
      <c r="O31" s="43">
        <f t="shared" si="1"/>
        <v>509</v>
      </c>
      <c r="P31" s="40">
        <v>475</v>
      </c>
      <c r="Q31" s="40">
        <v>34</v>
      </c>
      <c r="R31" s="40">
        <v>0</v>
      </c>
      <c r="S31" s="44">
        <f t="shared" si="2"/>
        <v>3957.8900000000003</v>
      </c>
      <c r="T31" s="35" t="s">
        <v>93</v>
      </c>
      <c r="U31" s="70" t="s">
        <v>90</v>
      </c>
      <c r="V31" s="71" t="s">
        <v>92</v>
      </c>
      <c r="W31" s="71" t="s">
        <v>29</v>
      </c>
      <c r="X31" s="70" t="s">
        <v>29</v>
      </c>
      <c r="Y31" s="72" t="e">
        <f>#REF!-H31</f>
        <v>#REF!</v>
      </c>
      <c r="Z31" s="73" t="e">
        <f>#REF!-J31</f>
        <v>#REF!</v>
      </c>
      <c r="AA31" s="74" t="e">
        <f>#REF!-L31</f>
        <v>#REF!</v>
      </c>
      <c r="AB31" s="73" t="e">
        <f>#REF!-N31</f>
        <v>#REF!</v>
      </c>
      <c r="AC31" s="72" t="e">
        <f>(#REF!+#REF!)-S31</f>
        <v>#REF!</v>
      </c>
      <c r="AD31" s="50" t="e">
        <f>AC31/(#REF!+#REF!)*100</f>
        <v>#REF!</v>
      </c>
      <c r="AH31" s="33" t="s">
        <v>34</v>
      </c>
    </row>
    <row r="32" spans="1:34" s="69" customFormat="1" ht="21" x14ac:dyDescent="0.3">
      <c r="A32" s="233">
        <v>28</v>
      </c>
      <c r="B32" s="82" t="s">
        <v>26</v>
      </c>
      <c r="C32" s="82" t="s">
        <v>87</v>
      </c>
      <c r="D32" s="83" t="s">
        <v>94</v>
      </c>
      <c r="E32" s="83" t="s">
        <v>29</v>
      </c>
      <c r="F32" s="84" t="s">
        <v>30</v>
      </c>
      <c r="G32" s="85"/>
      <c r="H32" s="102">
        <f t="shared" si="0"/>
        <v>3433.81</v>
      </c>
      <c r="I32" s="87"/>
      <c r="J32" s="88">
        <v>2674.61</v>
      </c>
      <c r="K32" s="89">
        <f t="shared" si="3"/>
        <v>2674.61</v>
      </c>
      <c r="L32" s="103">
        <f>268+63.7</f>
        <v>331.7</v>
      </c>
      <c r="M32" s="103">
        <v>63.7</v>
      </c>
      <c r="N32" s="88">
        <v>343.6</v>
      </c>
      <c r="O32" s="87">
        <f t="shared" si="1"/>
        <v>427.5</v>
      </c>
      <c r="P32" s="88">
        <v>285</v>
      </c>
      <c r="Q32" s="104">
        <v>66.400000000000006</v>
      </c>
      <c r="R32" s="104">
        <v>76.099999999999994</v>
      </c>
      <c r="S32" s="92">
        <f t="shared" si="2"/>
        <v>3006.31</v>
      </c>
      <c r="T32" s="93" t="s">
        <v>57</v>
      </c>
      <c r="U32" s="82" t="s">
        <v>90</v>
      </c>
      <c r="V32" s="83" t="s">
        <v>94</v>
      </c>
      <c r="W32" s="83" t="s">
        <v>29</v>
      </c>
      <c r="X32" s="82" t="s">
        <v>29</v>
      </c>
      <c r="Y32" s="94" t="e">
        <f>#REF!-H32</f>
        <v>#REF!</v>
      </c>
      <c r="Z32" s="95" t="e">
        <f>#REF!-J32</f>
        <v>#REF!</v>
      </c>
      <c r="AA32" s="96" t="e">
        <f>#REF!-L32</f>
        <v>#REF!</v>
      </c>
      <c r="AB32" s="95" t="e">
        <f>#REF!-N32</f>
        <v>#REF!</v>
      </c>
      <c r="AC32" s="94" t="e">
        <f>(#REF!+#REF!)-S32</f>
        <v>#REF!</v>
      </c>
      <c r="AD32" s="97" t="e">
        <f>AC32/(#REF!+#REF!)*100</f>
        <v>#REF!</v>
      </c>
      <c r="AE32" s="98"/>
      <c r="AF32" s="98"/>
      <c r="AG32" s="99"/>
      <c r="AH32" s="100" t="s">
        <v>58</v>
      </c>
    </row>
    <row r="33" spans="1:34" s="69" customFormat="1" ht="21" x14ac:dyDescent="0.3">
      <c r="A33" s="234">
        <v>29</v>
      </c>
      <c r="B33" s="82" t="s">
        <v>26</v>
      </c>
      <c r="C33" s="82" t="s">
        <v>87</v>
      </c>
      <c r="D33" s="83" t="s">
        <v>80</v>
      </c>
      <c r="E33" s="83" t="s">
        <v>29</v>
      </c>
      <c r="F33" s="84" t="s">
        <v>30</v>
      </c>
      <c r="G33" s="85"/>
      <c r="H33" s="86">
        <f t="shared" si="0"/>
        <v>3020.37</v>
      </c>
      <c r="I33" s="87"/>
      <c r="J33" s="88">
        <v>2126.87</v>
      </c>
      <c r="K33" s="89">
        <f t="shared" si="3"/>
        <v>2126.87</v>
      </c>
      <c r="L33" s="90">
        <f>568.1-5.3</f>
        <v>562.80000000000007</v>
      </c>
      <c r="M33" s="90"/>
      <c r="N33" s="88">
        <v>330.7</v>
      </c>
      <c r="O33" s="91">
        <f t="shared" si="1"/>
        <v>330.7</v>
      </c>
      <c r="P33" s="88">
        <v>313</v>
      </c>
      <c r="Q33" s="88">
        <v>17.7</v>
      </c>
      <c r="R33" s="88"/>
      <c r="S33" s="92">
        <f t="shared" si="2"/>
        <v>2689.67</v>
      </c>
      <c r="T33" s="93" t="s">
        <v>57</v>
      </c>
      <c r="U33" s="82" t="s">
        <v>90</v>
      </c>
      <c r="V33" s="83" t="s">
        <v>80</v>
      </c>
      <c r="W33" s="83" t="s">
        <v>29</v>
      </c>
      <c r="X33" s="82" t="s">
        <v>29</v>
      </c>
      <c r="Y33" s="94" t="e">
        <f>#REF!-H33</f>
        <v>#REF!</v>
      </c>
      <c r="Z33" s="95" t="e">
        <f>#REF!-J33</f>
        <v>#REF!</v>
      </c>
      <c r="AA33" s="96" t="e">
        <f>#REF!-L33</f>
        <v>#REF!</v>
      </c>
      <c r="AB33" s="95" t="e">
        <f>#REF!-N33</f>
        <v>#REF!</v>
      </c>
      <c r="AC33" s="94" t="e">
        <f>(#REF!+#REF!)-S33</f>
        <v>#REF!</v>
      </c>
      <c r="AD33" s="97" t="e">
        <f>AC33/(#REF!+#REF!)*100</f>
        <v>#REF!</v>
      </c>
      <c r="AE33" s="98"/>
      <c r="AF33" s="98"/>
      <c r="AG33" s="99"/>
      <c r="AH33" s="100" t="s">
        <v>95</v>
      </c>
    </row>
    <row r="34" spans="1:34" s="69" customFormat="1" x14ac:dyDescent="0.3">
      <c r="A34" s="75">
        <v>30</v>
      </c>
      <c r="B34" s="34" t="s">
        <v>26</v>
      </c>
      <c r="C34" s="34" t="s">
        <v>87</v>
      </c>
      <c r="D34" s="35" t="s">
        <v>77</v>
      </c>
      <c r="E34" s="35" t="s">
        <v>29</v>
      </c>
      <c r="F34" s="36" t="s">
        <v>30</v>
      </c>
      <c r="G34" s="37" t="s">
        <v>31</v>
      </c>
      <c r="H34" s="38">
        <f t="shared" si="0"/>
        <v>3840.92</v>
      </c>
      <c r="I34" s="39"/>
      <c r="J34" s="40">
        <v>2822.92</v>
      </c>
      <c r="K34" s="41">
        <f t="shared" si="3"/>
        <v>2822.92</v>
      </c>
      <c r="L34" s="42">
        <f>321.7-53.1+112.7</f>
        <v>381.29999999999995</v>
      </c>
      <c r="M34" s="42"/>
      <c r="N34" s="40">
        <v>630.1</v>
      </c>
      <c r="O34" s="43">
        <f t="shared" si="1"/>
        <v>636.70000000000005</v>
      </c>
      <c r="P34" s="40">
        <v>337</v>
      </c>
      <c r="Q34" s="40"/>
      <c r="R34" s="40">
        <f>353.3-162.1+108.5</f>
        <v>299.70000000000005</v>
      </c>
      <c r="S34" s="76">
        <f t="shared" si="2"/>
        <v>3204.2200000000003</v>
      </c>
      <c r="T34" s="35" t="s">
        <v>96</v>
      </c>
      <c r="U34" s="34" t="s">
        <v>90</v>
      </c>
      <c r="V34" s="35" t="s">
        <v>77</v>
      </c>
      <c r="W34" s="35" t="s">
        <v>29</v>
      </c>
      <c r="X34" s="34" t="s">
        <v>29</v>
      </c>
      <c r="Y34" s="77" t="e">
        <f>#REF!-H34</f>
        <v>#REF!</v>
      </c>
      <c r="Z34" s="78" t="e">
        <f>#REF!-J34</f>
        <v>#REF!</v>
      </c>
      <c r="AA34" s="79" t="e">
        <f>#REF!-L34</f>
        <v>#REF!</v>
      </c>
      <c r="AB34" s="78" t="e">
        <f>#REF!-N34</f>
        <v>#REF!</v>
      </c>
      <c r="AC34" s="77" t="e">
        <f>(#REF!+#REF!)-S34</f>
        <v>#REF!</v>
      </c>
      <c r="AD34" s="80" t="e">
        <f>AC34/(#REF!+#REF!)*100</f>
        <v>#REF!</v>
      </c>
      <c r="AG34" s="81"/>
      <c r="AH34" s="33" t="s">
        <v>34</v>
      </c>
    </row>
    <row r="35" spans="1:34" s="69" customFormat="1" x14ac:dyDescent="0.3">
      <c r="A35" s="75">
        <v>31</v>
      </c>
      <c r="B35" s="34" t="s">
        <v>26</v>
      </c>
      <c r="C35" s="34" t="s">
        <v>87</v>
      </c>
      <c r="D35" s="35" t="s">
        <v>97</v>
      </c>
      <c r="E35" s="35" t="s">
        <v>29</v>
      </c>
      <c r="F35" s="36" t="s">
        <v>30</v>
      </c>
      <c r="G35" s="37"/>
      <c r="H35" s="105">
        <f t="shared" si="0"/>
        <v>7899.9</v>
      </c>
      <c r="I35" s="39"/>
      <c r="J35" s="40">
        <v>6221.7</v>
      </c>
      <c r="K35" s="41">
        <f t="shared" si="3"/>
        <v>6221.7</v>
      </c>
      <c r="L35" s="106">
        <f>244.9+78.1+106.4</f>
        <v>429.4</v>
      </c>
      <c r="M35" s="106">
        <f>78.1+106.4</f>
        <v>184.5</v>
      </c>
      <c r="N35" s="40">
        <v>1440</v>
      </c>
      <c r="O35" s="39">
        <f t="shared" si="1"/>
        <v>1248.8</v>
      </c>
      <c r="P35" s="40">
        <v>849</v>
      </c>
      <c r="Q35" s="40">
        <v>27.6</v>
      </c>
      <c r="R35" s="40">
        <v>372.2</v>
      </c>
      <c r="S35" s="76">
        <f t="shared" si="2"/>
        <v>6651.0999999999995</v>
      </c>
      <c r="T35" s="35" t="s">
        <v>98</v>
      </c>
      <c r="U35" s="34" t="s">
        <v>90</v>
      </c>
      <c r="V35" s="35" t="s">
        <v>83</v>
      </c>
      <c r="W35" s="35" t="s">
        <v>29</v>
      </c>
      <c r="X35" s="34" t="s">
        <v>29</v>
      </c>
      <c r="Y35" s="77" t="e">
        <f>#REF!-H35</f>
        <v>#REF!</v>
      </c>
      <c r="Z35" s="78" t="e">
        <f>#REF!-J35</f>
        <v>#REF!</v>
      </c>
      <c r="AA35" s="79" t="e">
        <f>#REF!-L35</f>
        <v>#REF!</v>
      </c>
      <c r="AB35" s="78" t="e">
        <f>#REF!-N35</f>
        <v>#REF!</v>
      </c>
      <c r="AC35" s="77" t="e">
        <f>(#REF!+#REF!)-S35</f>
        <v>#REF!</v>
      </c>
      <c r="AD35" s="80" t="e">
        <f>AC35/(#REF!+#REF!)*100</f>
        <v>#REF!</v>
      </c>
      <c r="AG35" s="81"/>
      <c r="AH35" s="33" t="s">
        <v>34</v>
      </c>
    </row>
    <row r="36" spans="1:34" s="69" customFormat="1" x14ac:dyDescent="0.3">
      <c r="A36" s="101">
        <v>32</v>
      </c>
      <c r="B36" s="34" t="s">
        <v>26</v>
      </c>
      <c r="C36" s="34" t="s">
        <v>87</v>
      </c>
      <c r="D36" s="35" t="s">
        <v>85</v>
      </c>
      <c r="E36" s="35" t="s">
        <v>29</v>
      </c>
      <c r="F36" s="36" t="s">
        <v>30</v>
      </c>
      <c r="G36" s="37" t="s">
        <v>31</v>
      </c>
      <c r="H36" s="38">
        <f t="shared" si="0"/>
        <v>962.47</v>
      </c>
      <c r="I36" s="39"/>
      <c r="J36" s="40">
        <v>744.77</v>
      </c>
      <c r="K36" s="41">
        <f t="shared" si="3"/>
        <v>744.77</v>
      </c>
      <c r="L36" s="42">
        <v>126.7</v>
      </c>
      <c r="M36" s="42"/>
      <c r="N36" s="40">
        <v>91</v>
      </c>
      <c r="O36" s="43">
        <f t="shared" si="1"/>
        <v>91</v>
      </c>
      <c r="P36" s="40">
        <v>91</v>
      </c>
      <c r="Q36" s="40"/>
      <c r="R36" s="40"/>
      <c r="S36" s="76">
        <f t="shared" si="2"/>
        <v>871.47</v>
      </c>
      <c r="T36" s="35" t="s">
        <v>99</v>
      </c>
      <c r="U36" s="34" t="s">
        <v>90</v>
      </c>
      <c r="V36" s="35" t="s">
        <v>85</v>
      </c>
      <c r="W36" s="35" t="s">
        <v>29</v>
      </c>
      <c r="X36" s="34" t="s">
        <v>29</v>
      </c>
      <c r="Y36" s="77" t="e">
        <f>#REF!-H36</f>
        <v>#REF!</v>
      </c>
      <c r="Z36" s="78" t="e">
        <f>#REF!-J36</f>
        <v>#REF!</v>
      </c>
      <c r="AA36" s="79" t="e">
        <f>#REF!-L36</f>
        <v>#REF!</v>
      </c>
      <c r="AB36" s="78" t="e">
        <f>#REF!-N36</f>
        <v>#REF!</v>
      </c>
      <c r="AC36" s="77" t="e">
        <f>(#REF!+#REF!)-S36</f>
        <v>#REF!</v>
      </c>
      <c r="AD36" s="80" t="e">
        <f>AC36/(#REF!+#REF!)*100</f>
        <v>#REF!</v>
      </c>
      <c r="AG36" s="81"/>
      <c r="AH36" s="33" t="s">
        <v>34</v>
      </c>
    </row>
    <row r="37" spans="1:34" s="69" customFormat="1" x14ac:dyDescent="0.3">
      <c r="A37" s="75">
        <v>33</v>
      </c>
      <c r="B37" s="34" t="s">
        <v>26</v>
      </c>
      <c r="C37" s="34" t="s">
        <v>87</v>
      </c>
      <c r="D37" s="35" t="s">
        <v>100</v>
      </c>
      <c r="E37" s="35" t="s">
        <v>29</v>
      </c>
      <c r="F37" s="36" t="s">
        <v>56</v>
      </c>
      <c r="G37" s="37" t="s">
        <v>31</v>
      </c>
      <c r="H37" s="38">
        <f t="shared" si="0"/>
        <v>624.06999999999994</v>
      </c>
      <c r="I37" s="39"/>
      <c r="J37" s="40">
        <v>443.27</v>
      </c>
      <c r="K37" s="41">
        <f t="shared" si="3"/>
        <v>443.27</v>
      </c>
      <c r="L37" s="42">
        <v>0</v>
      </c>
      <c r="M37" s="42"/>
      <c r="N37" s="42">
        <v>226.8</v>
      </c>
      <c r="O37" s="43">
        <f t="shared" si="1"/>
        <v>180.8</v>
      </c>
      <c r="P37" s="42">
        <v>68</v>
      </c>
      <c r="Q37" s="42"/>
      <c r="R37" s="42">
        <v>112.8</v>
      </c>
      <c r="S37" s="76">
        <f t="shared" si="2"/>
        <v>443.27</v>
      </c>
      <c r="T37" s="35" t="s">
        <v>101</v>
      </c>
      <c r="U37" s="34" t="s">
        <v>90</v>
      </c>
      <c r="V37" s="35" t="s">
        <v>100</v>
      </c>
      <c r="W37" s="35" t="s">
        <v>29</v>
      </c>
      <c r="X37" s="34" t="s">
        <v>29</v>
      </c>
      <c r="Y37" s="77" t="e">
        <f>#REF!-H37</f>
        <v>#REF!</v>
      </c>
      <c r="Z37" s="78" t="e">
        <f>#REF!-J37</f>
        <v>#REF!</v>
      </c>
      <c r="AA37" s="79" t="e">
        <f>#REF!-L37</f>
        <v>#REF!</v>
      </c>
      <c r="AB37" s="78" t="e">
        <f>#REF!-N37</f>
        <v>#REF!</v>
      </c>
      <c r="AC37" s="77" t="e">
        <f>(#REF!+#REF!)-S37</f>
        <v>#REF!</v>
      </c>
      <c r="AD37" s="80" t="e">
        <f>AC37/(#REF!+#REF!)*100</f>
        <v>#REF!</v>
      </c>
      <c r="AG37" s="81"/>
      <c r="AH37" s="33" t="s">
        <v>34</v>
      </c>
    </row>
    <row r="38" spans="1:34" s="69" customFormat="1" x14ac:dyDescent="0.3">
      <c r="A38" s="75">
        <v>34</v>
      </c>
      <c r="B38" s="34" t="s">
        <v>26</v>
      </c>
      <c r="C38" s="34" t="s">
        <v>87</v>
      </c>
      <c r="D38" s="35" t="s">
        <v>100</v>
      </c>
      <c r="E38" s="35" t="s">
        <v>102</v>
      </c>
      <c r="F38" s="36" t="s">
        <v>103</v>
      </c>
      <c r="G38" s="37" t="s">
        <v>31</v>
      </c>
      <c r="H38" s="38">
        <f t="shared" si="0"/>
        <v>1196.67</v>
      </c>
      <c r="I38" s="39"/>
      <c r="J38" s="40">
        <v>776.47</v>
      </c>
      <c r="K38" s="41">
        <f t="shared" si="3"/>
        <v>776.47</v>
      </c>
      <c r="L38" s="42">
        <f>215.8-38.4</f>
        <v>177.4</v>
      </c>
      <c r="M38" s="42"/>
      <c r="N38" s="42">
        <v>336.7</v>
      </c>
      <c r="O38" s="43">
        <f t="shared" si="1"/>
        <v>242.8</v>
      </c>
      <c r="P38" s="42">
        <f>139</f>
        <v>139</v>
      </c>
      <c r="Q38" s="42">
        <v>26.8</v>
      </c>
      <c r="R38" s="42">
        <v>77</v>
      </c>
      <c r="S38" s="76">
        <f t="shared" si="2"/>
        <v>953.87</v>
      </c>
      <c r="T38" s="35" t="s">
        <v>104</v>
      </c>
      <c r="U38" s="34" t="s">
        <v>90</v>
      </c>
      <c r="V38" s="35" t="s">
        <v>100</v>
      </c>
      <c r="W38" s="35" t="s">
        <v>29</v>
      </c>
      <c r="X38" s="34" t="s">
        <v>29</v>
      </c>
      <c r="Y38" s="77" t="e">
        <f>#REF!-H38</f>
        <v>#REF!</v>
      </c>
      <c r="Z38" s="78" t="e">
        <f>#REF!-J38</f>
        <v>#REF!</v>
      </c>
      <c r="AA38" s="79" t="e">
        <f>#REF!-L38</f>
        <v>#REF!</v>
      </c>
      <c r="AB38" s="78" t="e">
        <f>#REF!-N38</f>
        <v>#REF!</v>
      </c>
      <c r="AC38" s="77" t="e">
        <f>(#REF!+#REF!)-S38</f>
        <v>#REF!</v>
      </c>
      <c r="AD38" s="80" t="e">
        <f>AC38/(#REF!+#REF!)*100</f>
        <v>#REF!</v>
      </c>
      <c r="AG38" s="81"/>
      <c r="AH38" s="33" t="s">
        <v>34</v>
      </c>
    </row>
    <row r="39" spans="1:34" s="69" customFormat="1" x14ac:dyDescent="0.3">
      <c r="A39" s="101">
        <v>35</v>
      </c>
      <c r="B39" s="34" t="s">
        <v>26</v>
      </c>
      <c r="C39" s="34" t="s">
        <v>87</v>
      </c>
      <c r="D39" s="35" t="s">
        <v>105</v>
      </c>
      <c r="E39" s="35" t="s">
        <v>29</v>
      </c>
      <c r="F39" s="36" t="s">
        <v>30</v>
      </c>
      <c r="G39" s="37" t="s">
        <v>31</v>
      </c>
      <c r="H39" s="38">
        <f t="shared" si="0"/>
        <v>982.95999999999992</v>
      </c>
      <c r="I39" s="39"/>
      <c r="J39" s="40">
        <v>708.06</v>
      </c>
      <c r="K39" s="41">
        <f t="shared" si="3"/>
        <v>708.06</v>
      </c>
      <c r="L39" s="42">
        <v>162.1</v>
      </c>
      <c r="M39" s="42"/>
      <c r="N39" s="40">
        <v>129.80000000000001</v>
      </c>
      <c r="O39" s="43">
        <f t="shared" si="1"/>
        <v>112.8</v>
      </c>
      <c r="P39" s="40">
        <v>91</v>
      </c>
      <c r="Q39" s="40">
        <v>21.8</v>
      </c>
      <c r="R39" s="40"/>
      <c r="S39" s="76">
        <f t="shared" si="2"/>
        <v>870.16</v>
      </c>
      <c r="T39" s="35" t="s">
        <v>106</v>
      </c>
      <c r="U39" s="34" t="s">
        <v>90</v>
      </c>
      <c r="V39" s="35" t="s">
        <v>105</v>
      </c>
      <c r="W39" s="35" t="s">
        <v>29</v>
      </c>
      <c r="X39" s="34" t="s">
        <v>29</v>
      </c>
      <c r="Y39" s="77" t="e">
        <f>#REF!-H39</f>
        <v>#REF!</v>
      </c>
      <c r="Z39" s="78" t="e">
        <f>#REF!-J39</f>
        <v>#REF!</v>
      </c>
      <c r="AA39" s="79" t="e">
        <f>#REF!-L39</f>
        <v>#REF!</v>
      </c>
      <c r="AB39" s="78" t="e">
        <f>#REF!-N39</f>
        <v>#REF!</v>
      </c>
      <c r="AC39" s="77" t="e">
        <f>(#REF!+#REF!)-S39</f>
        <v>#REF!</v>
      </c>
      <c r="AD39" s="80" t="e">
        <f>AC39/(#REF!+#REF!)*100</f>
        <v>#REF!</v>
      </c>
      <c r="AG39" s="81"/>
      <c r="AH39" s="33" t="s">
        <v>34</v>
      </c>
    </row>
    <row r="40" spans="1:34" s="69" customFormat="1" x14ac:dyDescent="0.3">
      <c r="A40" s="75">
        <v>36</v>
      </c>
      <c r="B40" s="34" t="s">
        <v>26</v>
      </c>
      <c r="C40" s="34" t="s">
        <v>87</v>
      </c>
      <c r="D40" s="35" t="s">
        <v>107</v>
      </c>
      <c r="E40" s="35" t="s">
        <v>29</v>
      </c>
      <c r="F40" s="36" t="s">
        <v>30</v>
      </c>
      <c r="G40" s="37" t="s">
        <v>31</v>
      </c>
      <c r="H40" s="38">
        <f t="shared" si="0"/>
        <v>7056.2699999999995</v>
      </c>
      <c r="I40" s="39"/>
      <c r="J40" s="40">
        <v>5981.87</v>
      </c>
      <c r="K40" s="41">
        <f t="shared" si="3"/>
        <v>5981.87</v>
      </c>
      <c r="L40" s="106">
        <f>72.5+102.5</f>
        <v>175</v>
      </c>
      <c r="M40" s="106">
        <f>72.5+102.5</f>
        <v>175</v>
      </c>
      <c r="N40" s="40">
        <v>763.5</v>
      </c>
      <c r="O40" s="43">
        <f t="shared" si="1"/>
        <v>899.4</v>
      </c>
      <c r="P40" s="40">
        <v>733</v>
      </c>
      <c r="Q40" s="40">
        <v>36</v>
      </c>
      <c r="R40" s="40">
        <f>97.7+32.7</f>
        <v>130.4</v>
      </c>
      <c r="S40" s="76">
        <f t="shared" si="2"/>
        <v>6156.87</v>
      </c>
      <c r="T40" s="35" t="s">
        <v>108</v>
      </c>
      <c r="U40" s="34" t="s">
        <v>90</v>
      </c>
      <c r="V40" s="35" t="s">
        <v>107</v>
      </c>
      <c r="W40" s="35" t="s">
        <v>29</v>
      </c>
      <c r="X40" s="34" t="s">
        <v>29</v>
      </c>
      <c r="Y40" s="77" t="e">
        <f>#REF!-H40</f>
        <v>#REF!</v>
      </c>
      <c r="Z40" s="78" t="e">
        <f>#REF!-J40</f>
        <v>#REF!</v>
      </c>
      <c r="AA40" s="79" t="e">
        <f>#REF!-L40</f>
        <v>#REF!</v>
      </c>
      <c r="AB40" s="78" t="e">
        <f>#REF!-N40</f>
        <v>#REF!</v>
      </c>
      <c r="AC40" s="77" t="e">
        <f>(#REF!+#REF!)-S40</f>
        <v>#REF!</v>
      </c>
      <c r="AD40" s="80" t="e">
        <f>AC40/(#REF!+#REF!)*100</f>
        <v>#REF!</v>
      </c>
      <c r="AG40" s="81"/>
      <c r="AH40" s="33" t="s">
        <v>34</v>
      </c>
    </row>
    <row r="41" spans="1:34" s="69" customFormat="1" x14ac:dyDescent="0.3">
      <c r="A41" s="75">
        <v>37</v>
      </c>
      <c r="B41" s="34" t="s">
        <v>26</v>
      </c>
      <c r="C41" s="34" t="s">
        <v>87</v>
      </c>
      <c r="D41" s="35" t="s">
        <v>109</v>
      </c>
      <c r="E41" s="35" t="s">
        <v>29</v>
      </c>
      <c r="F41" s="36" t="s">
        <v>30</v>
      </c>
      <c r="G41" s="37"/>
      <c r="H41" s="38">
        <f t="shared" si="0"/>
        <v>3168.81</v>
      </c>
      <c r="I41" s="39"/>
      <c r="J41" s="40">
        <v>2431.41</v>
      </c>
      <c r="K41" s="41">
        <f t="shared" si="3"/>
        <v>2431.41</v>
      </c>
      <c r="L41" s="42">
        <v>381.9</v>
      </c>
      <c r="M41" s="42"/>
      <c r="N41" s="40">
        <v>385.3</v>
      </c>
      <c r="O41" s="43">
        <f t="shared" si="1"/>
        <v>355.5</v>
      </c>
      <c r="P41" s="40">
        <v>280</v>
      </c>
      <c r="Q41" s="40">
        <v>75.5</v>
      </c>
      <c r="R41" s="40">
        <v>0</v>
      </c>
      <c r="S41" s="76">
        <f t="shared" si="2"/>
        <v>2813.31</v>
      </c>
      <c r="T41" s="35" t="s">
        <v>110</v>
      </c>
      <c r="U41" s="34" t="s">
        <v>90</v>
      </c>
      <c r="V41" s="35" t="s">
        <v>109</v>
      </c>
      <c r="W41" s="35" t="s">
        <v>29</v>
      </c>
      <c r="X41" s="34" t="s">
        <v>29</v>
      </c>
      <c r="Y41" s="77" t="e">
        <f>#REF!-H41</f>
        <v>#REF!</v>
      </c>
      <c r="Z41" s="78" t="e">
        <f>#REF!-J41</f>
        <v>#REF!</v>
      </c>
      <c r="AA41" s="79" t="e">
        <f>#REF!-L41</f>
        <v>#REF!</v>
      </c>
      <c r="AB41" s="78" t="e">
        <f>#REF!-N41</f>
        <v>#REF!</v>
      </c>
      <c r="AC41" s="77" t="e">
        <f>(#REF!+#REF!)-S41</f>
        <v>#REF!</v>
      </c>
      <c r="AD41" s="80" t="e">
        <f>AC41/(#REF!+#REF!)*100</f>
        <v>#REF!</v>
      </c>
      <c r="AG41" s="81"/>
      <c r="AH41" s="33" t="s">
        <v>34</v>
      </c>
    </row>
    <row r="42" spans="1:34" s="69" customFormat="1" x14ac:dyDescent="0.3">
      <c r="A42" s="101">
        <v>38</v>
      </c>
      <c r="B42" s="34" t="s">
        <v>26</v>
      </c>
      <c r="C42" s="34" t="s">
        <v>87</v>
      </c>
      <c r="D42" s="35" t="s">
        <v>111</v>
      </c>
      <c r="E42" s="35" t="s">
        <v>29</v>
      </c>
      <c r="F42" s="36" t="s">
        <v>30</v>
      </c>
      <c r="G42" s="37" t="s">
        <v>31</v>
      </c>
      <c r="H42" s="38">
        <f t="shared" si="0"/>
        <v>7883.5700000000006</v>
      </c>
      <c r="I42" s="39"/>
      <c r="J42" s="40">
        <v>5545.87</v>
      </c>
      <c r="K42" s="41">
        <f t="shared" si="3"/>
        <v>5545.87</v>
      </c>
      <c r="L42" s="42">
        <f>1235+10.7-0.2-0.1</f>
        <v>1245.4000000000001</v>
      </c>
      <c r="M42" s="42"/>
      <c r="N42" s="40">
        <v>1092.3</v>
      </c>
      <c r="O42" s="43">
        <f t="shared" si="1"/>
        <v>1092.3</v>
      </c>
      <c r="P42" s="40">
        <v>879.4</v>
      </c>
      <c r="Q42" s="40">
        <v>23.2</v>
      </c>
      <c r="R42" s="40">
        <v>189.7</v>
      </c>
      <c r="S42" s="76">
        <f t="shared" si="2"/>
        <v>6791.27</v>
      </c>
      <c r="T42" s="35" t="s">
        <v>112</v>
      </c>
      <c r="U42" s="34" t="s">
        <v>90</v>
      </c>
      <c r="V42" s="35" t="s">
        <v>111</v>
      </c>
      <c r="W42" s="35" t="s">
        <v>29</v>
      </c>
      <c r="X42" s="34" t="s">
        <v>29</v>
      </c>
      <c r="Y42" s="77" t="e">
        <f>#REF!-H42</f>
        <v>#REF!</v>
      </c>
      <c r="Z42" s="78" t="e">
        <f>#REF!-J42</f>
        <v>#REF!</v>
      </c>
      <c r="AA42" s="79" t="e">
        <f>#REF!-L42</f>
        <v>#REF!</v>
      </c>
      <c r="AB42" s="78" t="e">
        <f>#REF!-N42</f>
        <v>#REF!</v>
      </c>
      <c r="AC42" s="77" t="e">
        <f>(#REF!+#REF!)-S42</f>
        <v>#REF!</v>
      </c>
      <c r="AD42" s="80" t="e">
        <f>AC42/(#REF!+#REF!)*100</f>
        <v>#REF!</v>
      </c>
      <c r="AG42" s="81"/>
      <c r="AH42" s="33" t="s">
        <v>34</v>
      </c>
    </row>
    <row r="43" spans="1:34" s="69" customFormat="1" ht="21" x14ac:dyDescent="0.3">
      <c r="A43" s="233">
        <v>39</v>
      </c>
      <c r="B43" s="82" t="s">
        <v>26</v>
      </c>
      <c r="C43" s="82" t="s">
        <v>87</v>
      </c>
      <c r="D43" s="83" t="s">
        <v>113</v>
      </c>
      <c r="E43" s="83" t="s">
        <v>29</v>
      </c>
      <c r="F43" s="84" t="s">
        <v>30</v>
      </c>
      <c r="G43" s="85" t="s">
        <v>31</v>
      </c>
      <c r="H43" s="86">
        <f t="shared" si="0"/>
        <v>6580.4</v>
      </c>
      <c r="I43" s="87"/>
      <c r="J43" s="88">
        <v>4270.7</v>
      </c>
      <c r="K43" s="89">
        <f t="shared" si="3"/>
        <v>4270.7</v>
      </c>
      <c r="L43" s="90">
        <f>853.6+163.2</f>
        <v>1016.8</v>
      </c>
      <c r="M43" s="90">
        <v>163.19999999999999</v>
      </c>
      <c r="N43" s="88">
        <v>1214.2</v>
      </c>
      <c r="O43" s="91">
        <f t="shared" si="1"/>
        <v>1292.9000000000001</v>
      </c>
      <c r="P43" s="88">
        <v>795</v>
      </c>
      <c r="Q43" s="88">
        <f>88.7+184.5</f>
        <v>273.2</v>
      </c>
      <c r="R43" s="88">
        <f>49.7+13.6+161.4</f>
        <v>224.70000000000002</v>
      </c>
      <c r="S43" s="92">
        <f t="shared" si="2"/>
        <v>5287.5</v>
      </c>
      <c r="T43" s="93" t="s">
        <v>57</v>
      </c>
      <c r="U43" s="82" t="s">
        <v>90</v>
      </c>
      <c r="V43" s="83" t="s">
        <v>113</v>
      </c>
      <c r="W43" s="83" t="s">
        <v>29</v>
      </c>
      <c r="X43" s="82" t="s">
        <v>29</v>
      </c>
      <c r="Y43" s="94" t="e">
        <f>#REF!-H43</f>
        <v>#REF!</v>
      </c>
      <c r="Z43" s="95" t="e">
        <f>#REF!-J43</f>
        <v>#REF!</v>
      </c>
      <c r="AA43" s="96" t="e">
        <f>#REF!-L43</f>
        <v>#REF!</v>
      </c>
      <c r="AB43" s="95" t="e">
        <f>#REF!-N43</f>
        <v>#REF!</v>
      </c>
      <c r="AC43" s="94" t="e">
        <f>(#REF!+#REF!)-S43</f>
        <v>#REF!</v>
      </c>
      <c r="AD43" s="97" t="e">
        <f>AC43/(#REF!+#REF!)*100</f>
        <v>#REF!</v>
      </c>
      <c r="AE43" s="98"/>
      <c r="AF43" s="98"/>
      <c r="AG43" s="99"/>
      <c r="AH43" s="100" t="s">
        <v>114</v>
      </c>
    </row>
    <row r="44" spans="1:34" s="69" customFormat="1" ht="21" x14ac:dyDescent="0.3">
      <c r="A44" s="233">
        <v>40</v>
      </c>
      <c r="B44" s="82" t="s">
        <v>26</v>
      </c>
      <c r="C44" s="82" t="s">
        <v>87</v>
      </c>
      <c r="D44" s="83" t="s">
        <v>115</v>
      </c>
      <c r="E44" s="83" t="s">
        <v>29</v>
      </c>
      <c r="F44" s="84" t="s">
        <v>30</v>
      </c>
      <c r="G44" s="85" t="s">
        <v>31</v>
      </c>
      <c r="H44" s="86">
        <f t="shared" si="0"/>
        <v>808.68000000000006</v>
      </c>
      <c r="I44" s="87">
        <v>26</v>
      </c>
      <c r="J44" s="88">
        <v>509.68</v>
      </c>
      <c r="K44" s="89">
        <f t="shared" si="3"/>
        <v>535.68000000000006</v>
      </c>
      <c r="L44" s="90">
        <v>91</v>
      </c>
      <c r="M44" s="90"/>
      <c r="N44" s="88">
        <v>99</v>
      </c>
      <c r="O44" s="91">
        <f t="shared" si="1"/>
        <v>182</v>
      </c>
      <c r="P44" s="88">
        <v>99</v>
      </c>
      <c r="Q44" s="88"/>
      <c r="R44" s="88">
        <v>83</v>
      </c>
      <c r="S44" s="92">
        <f t="shared" si="2"/>
        <v>626.68000000000006</v>
      </c>
      <c r="T44" s="93" t="s">
        <v>57</v>
      </c>
      <c r="U44" s="82" t="s">
        <v>90</v>
      </c>
      <c r="V44" s="83" t="s">
        <v>115</v>
      </c>
      <c r="W44" s="83" t="s">
        <v>29</v>
      </c>
      <c r="X44" s="82" t="s">
        <v>29</v>
      </c>
      <c r="Y44" s="94" t="e">
        <f>#REF!-H44</f>
        <v>#REF!</v>
      </c>
      <c r="Z44" s="95" t="e">
        <f>#REF!-J44</f>
        <v>#REF!</v>
      </c>
      <c r="AA44" s="96" t="e">
        <f>#REF!-L44</f>
        <v>#REF!</v>
      </c>
      <c r="AB44" s="95" t="e">
        <f>#REF!-N44</f>
        <v>#REF!</v>
      </c>
      <c r="AC44" s="94" t="e">
        <f>(#REF!+#REF!)-S44</f>
        <v>#REF!</v>
      </c>
      <c r="AD44" s="97" t="e">
        <f>AC44/(#REF!+#REF!)*100</f>
        <v>#REF!</v>
      </c>
      <c r="AE44" s="98"/>
      <c r="AF44" s="98"/>
      <c r="AG44" s="99"/>
      <c r="AH44" s="100" t="s">
        <v>114</v>
      </c>
    </row>
    <row r="45" spans="1:34" x14ac:dyDescent="0.3">
      <c r="A45" s="232">
        <v>41</v>
      </c>
      <c r="B45" s="34" t="s">
        <v>26</v>
      </c>
      <c r="C45" s="34" t="s">
        <v>87</v>
      </c>
      <c r="D45" s="35" t="s">
        <v>116</v>
      </c>
      <c r="E45" s="35" t="s">
        <v>29</v>
      </c>
      <c r="F45" s="36" t="s">
        <v>30</v>
      </c>
      <c r="G45" s="37" t="s">
        <v>31</v>
      </c>
      <c r="H45" s="38">
        <f t="shared" si="0"/>
        <v>1706.12</v>
      </c>
      <c r="I45" s="39"/>
      <c r="J45" s="40">
        <v>1339.62</v>
      </c>
      <c r="K45" s="41">
        <f t="shared" si="3"/>
        <v>1339.62</v>
      </c>
      <c r="L45" s="42">
        <v>107.5</v>
      </c>
      <c r="M45" s="42"/>
      <c r="N45" s="40">
        <v>259</v>
      </c>
      <c r="O45" s="43">
        <f t="shared" si="1"/>
        <v>259</v>
      </c>
      <c r="P45" s="40">
        <v>259</v>
      </c>
      <c r="Q45" s="40"/>
      <c r="R45" s="40"/>
      <c r="S45" s="44">
        <f t="shared" si="2"/>
        <v>1447.12</v>
      </c>
      <c r="T45" s="35" t="s">
        <v>117</v>
      </c>
      <c r="U45" s="70" t="s">
        <v>90</v>
      </c>
      <c r="V45" s="71" t="s">
        <v>116</v>
      </c>
      <c r="W45" s="71" t="s">
        <v>29</v>
      </c>
      <c r="X45" s="70" t="s">
        <v>29</v>
      </c>
      <c r="Y45" s="72" t="e">
        <f>#REF!-H45</f>
        <v>#REF!</v>
      </c>
      <c r="Z45" s="73" t="e">
        <f>#REF!-J45</f>
        <v>#REF!</v>
      </c>
      <c r="AA45" s="74" t="e">
        <f>#REF!-L45</f>
        <v>#REF!</v>
      </c>
      <c r="AB45" s="73" t="e">
        <f>#REF!-N45</f>
        <v>#REF!</v>
      </c>
      <c r="AC45" s="72" t="e">
        <f>(#REF!+#REF!)-S45</f>
        <v>#REF!</v>
      </c>
      <c r="AD45" s="50" t="e">
        <f>AC45/(#REF!+#REF!)*100</f>
        <v>#REF!</v>
      </c>
      <c r="AH45" s="33" t="s">
        <v>34</v>
      </c>
    </row>
    <row r="46" spans="1:34" x14ac:dyDescent="0.3">
      <c r="A46" s="230">
        <v>42</v>
      </c>
      <c r="B46" s="34" t="s">
        <v>26</v>
      </c>
      <c r="C46" s="34" t="s">
        <v>87</v>
      </c>
      <c r="D46" s="35" t="s">
        <v>118</v>
      </c>
      <c r="E46" s="35" t="s">
        <v>29</v>
      </c>
      <c r="F46" s="36" t="s">
        <v>30</v>
      </c>
      <c r="G46" s="37" t="s">
        <v>31</v>
      </c>
      <c r="H46" s="38">
        <f t="shared" si="0"/>
        <v>1495.7000000000003</v>
      </c>
      <c r="I46" s="39"/>
      <c r="J46" s="40">
        <v>1083.7</v>
      </c>
      <c r="K46" s="41">
        <f t="shared" si="3"/>
        <v>1083.7</v>
      </c>
      <c r="L46" s="42">
        <v>63.4</v>
      </c>
      <c r="M46" s="42"/>
      <c r="N46" s="40">
        <v>198</v>
      </c>
      <c r="O46" s="43">
        <f t="shared" si="1"/>
        <v>348.6</v>
      </c>
      <c r="P46" s="40">
        <v>198</v>
      </c>
      <c r="Q46" s="40">
        <v>22.3</v>
      </c>
      <c r="R46" s="40">
        <v>128.30000000000001</v>
      </c>
      <c r="S46" s="44">
        <f t="shared" si="2"/>
        <v>1147.1000000000001</v>
      </c>
      <c r="T46" s="35" t="s">
        <v>119</v>
      </c>
      <c r="U46" s="70" t="s">
        <v>90</v>
      </c>
      <c r="V46" s="71" t="s">
        <v>118</v>
      </c>
      <c r="W46" s="71" t="s">
        <v>29</v>
      </c>
      <c r="X46" s="70" t="s">
        <v>29</v>
      </c>
      <c r="Y46" s="72" t="e">
        <f>#REF!-H46</f>
        <v>#REF!</v>
      </c>
      <c r="Z46" s="73" t="e">
        <f>#REF!-J46</f>
        <v>#REF!</v>
      </c>
      <c r="AA46" s="74" t="e">
        <f>#REF!-L46</f>
        <v>#REF!</v>
      </c>
      <c r="AB46" s="73" t="e">
        <f>#REF!-N46</f>
        <v>#REF!</v>
      </c>
      <c r="AC46" s="72" t="e">
        <f>(#REF!+#REF!)-S46</f>
        <v>#REF!</v>
      </c>
      <c r="AD46" s="50" t="e">
        <f>AC46/(#REF!+#REF!)*100</f>
        <v>#REF!</v>
      </c>
      <c r="AH46" s="33" t="s">
        <v>34</v>
      </c>
    </row>
    <row r="47" spans="1:34" x14ac:dyDescent="0.3">
      <c r="A47" s="230">
        <v>43</v>
      </c>
      <c r="B47" s="34" t="s">
        <v>26</v>
      </c>
      <c r="C47" s="34" t="s">
        <v>87</v>
      </c>
      <c r="D47" s="35" t="s">
        <v>120</v>
      </c>
      <c r="E47" s="35" t="s">
        <v>29</v>
      </c>
      <c r="F47" s="36" t="s">
        <v>30</v>
      </c>
      <c r="G47" s="37" t="s">
        <v>31</v>
      </c>
      <c r="H47" s="38">
        <f t="shared" si="0"/>
        <v>5055.8900000000003</v>
      </c>
      <c r="I47" s="39"/>
      <c r="J47" s="40">
        <f>4133.84-2+35.55</f>
        <v>4167.3900000000003</v>
      </c>
      <c r="K47" s="41">
        <f t="shared" si="3"/>
        <v>4167.3900000000003</v>
      </c>
      <c r="L47" s="42">
        <v>134.5</v>
      </c>
      <c r="M47" s="42"/>
      <c r="N47" s="40">
        <v>754</v>
      </c>
      <c r="O47" s="43">
        <f t="shared" si="1"/>
        <v>754</v>
      </c>
      <c r="P47" s="40">
        <v>754</v>
      </c>
      <c r="Q47" s="40"/>
      <c r="R47" s="40"/>
      <c r="S47" s="44">
        <f t="shared" si="2"/>
        <v>4301.8900000000003</v>
      </c>
      <c r="T47" s="35" t="s">
        <v>121</v>
      </c>
      <c r="U47" s="70" t="s">
        <v>90</v>
      </c>
      <c r="V47" s="71" t="s">
        <v>120</v>
      </c>
      <c r="W47" s="71" t="s">
        <v>29</v>
      </c>
      <c r="X47" s="70" t="s">
        <v>29</v>
      </c>
      <c r="Y47" s="72" t="e">
        <f>#REF!-H47</f>
        <v>#REF!</v>
      </c>
      <c r="Z47" s="73" t="e">
        <f>#REF!-J47</f>
        <v>#REF!</v>
      </c>
      <c r="AA47" s="74" t="e">
        <f>#REF!-L47</f>
        <v>#REF!</v>
      </c>
      <c r="AB47" s="73" t="e">
        <f>#REF!-N47</f>
        <v>#REF!</v>
      </c>
      <c r="AC47" s="72" t="e">
        <f>(#REF!+#REF!)-S47</f>
        <v>#REF!</v>
      </c>
      <c r="AD47" s="50" t="e">
        <f>AC47/(#REF!+#REF!)*100</f>
        <v>#REF!</v>
      </c>
      <c r="AH47" s="33" t="s">
        <v>34</v>
      </c>
    </row>
    <row r="48" spans="1:34" x14ac:dyDescent="0.3">
      <c r="A48" s="232">
        <v>44</v>
      </c>
      <c r="B48" s="34" t="s">
        <v>26</v>
      </c>
      <c r="C48" s="34" t="s">
        <v>87</v>
      </c>
      <c r="D48" s="35" t="s">
        <v>122</v>
      </c>
      <c r="E48" s="35" t="s">
        <v>29</v>
      </c>
      <c r="F48" s="36" t="s">
        <v>30</v>
      </c>
      <c r="G48" s="37" t="s">
        <v>31</v>
      </c>
      <c r="H48" s="38">
        <f t="shared" si="0"/>
        <v>8130.0300000000007</v>
      </c>
      <c r="I48" s="39">
        <v>0</v>
      </c>
      <c r="J48" s="40">
        <f>6435.33+0.2</f>
        <v>6435.53</v>
      </c>
      <c r="K48" s="41">
        <f t="shared" si="3"/>
        <v>6435.53</v>
      </c>
      <c r="L48" s="42">
        <v>585.6</v>
      </c>
      <c r="M48" s="42"/>
      <c r="N48" s="40">
        <v>1260.26</v>
      </c>
      <c r="O48" s="43">
        <f t="shared" si="1"/>
        <v>1108.9000000000001</v>
      </c>
      <c r="P48" s="40">
        <v>1033</v>
      </c>
      <c r="Q48" s="40">
        <v>75.900000000000006</v>
      </c>
      <c r="R48" s="40"/>
      <c r="S48" s="44">
        <f t="shared" si="2"/>
        <v>7021.13</v>
      </c>
      <c r="T48" s="35" t="s">
        <v>123</v>
      </c>
      <c r="U48" s="70" t="s">
        <v>90</v>
      </c>
      <c r="V48" s="71" t="s">
        <v>122</v>
      </c>
      <c r="W48" s="71" t="s">
        <v>29</v>
      </c>
      <c r="X48" s="70" t="s">
        <v>29</v>
      </c>
      <c r="Y48" s="72" t="e">
        <f>#REF!-H48</f>
        <v>#REF!</v>
      </c>
      <c r="Z48" s="73" t="e">
        <f>#REF!-J48</f>
        <v>#REF!</v>
      </c>
      <c r="AA48" s="74" t="e">
        <f>#REF!-L48</f>
        <v>#REF!</v>
      </c>
      <c r="AB48" s="73" t="e">
        <f>#REF!-N48</f>
        <v>#REF!</v>
      </c>
      <c r="AC48" s="72" t="e">
        <f>(#REF!+#REF!)-S48</f>
        <v>#REF!</v>
      </c>
      <c r="AD48" s="50" t="e">
        <f>AC48/(#REF!+#REF!)*100</f>
        <v>#REF!</v>
      </c>
      <c r="AH48" s="33" t="s">
        <v>34</v>
      </c>
    </row>
    <row r="49" spans="1:34" x14ac:dyDescent="0.3">
      <c r="A49" s="230">
        <v>45</v>
      </c>
      <c r="B49" s="34" t="s">
        <v>26</v>
      </c>
      <c r="C49" s="34" t="s">
        <v>87</v>
      </c>
      <c r="D49" s="35" t="s">
        <v>124</v>
      </c>
      <c r="E49" s="35" t="s">
        <v>29</v>
      </c>
      <c r="F49" s="36" t="s">
        <v>30</v>
      </c>
      <c r="G49" s="37" t="s">
        <v>31</v>
      </c>
      <c r="H49" s="105">
        <f t="shared" si="0"/>
        <v>15296.060000000001</v>
      </c>
      <c r="I49" s="39"/>
      <c r="J49" s="40">
        <v>11988.86</v>
      </c>
      <c r="K49" s="41">
        <f t="shared" si="3"/>
        <v>11988.86</v>
      </c>
      <c r="L49" s="106">
        <f>529.3+25.1+66.5+146.6+99.4</f>
        <v>866.9</v>
      </c>
      <c r="M49" s="106">
        <f>24.2+146.6+66.5+99.4</f>
        <v>336.7</v>
      </c>
      <c r="N49" s="40">
        <v>2959.7</v>
      </c>
      <c r="O49" s="43">
        <f t="shared" si="1"/>
        <v>2440.3000000000002</v>
      </c>
      <c r="P49" s="40">
        <v>2075</v>
      </c>
      <c r="Q49" s="40">
        <v>166.8</v>
      </c>
      <c r="R49" s="40">
        <v>198.5</v>
      </c>
      <c r="S49" s="44">
        <f t="shared" si="2"/>
        <v>12855.76</v>
      </c>
      <c r="T49" s="35" t="s">
        <v>125</v>
      </c>
      <c r="U49" s="70" t="s">
        <v>90</v>
      </c>
      <c r="V49" s="71" t="s">
        <v>124</v>
      </c>
      <c r="W49" s="71" t="s">
        <v>29</v>
      </c>
      <c r="X49" s="70" t="s">
        <v>29</v>
      </c>
      <c r="Y49" s="72" t="e">
        <f>#REF!-H49</f>
        <v>#REF!</v>
      </c>
      <c r="Z49" s="73" t="e">
        <f>#REF!-J49</f>
        <v>#REF!</v>
      </c>
      <c r="AA49" s="74" t="e">
        <f>#REF!-L49</f>
        <v>#REF!</v>
      </c>
      <c r="AB49" s="73" t="e">
        <f>#REF!-N49</f>
        <v>#REF!</v>
      </c>
      <c r="AC49" s="72" t="e">
        <f>(#REF!+#REF!)-S49</f>
        <v>#REF!</v>
      </c>
      <c r="AD49" s="50" t="e">
        <f>AC49/(#REF!+#REF!)*100</f>
        <v>#REF!</v>
      </c>
      <c r="AH49" s="33" t="s">
        <v>34</v>
      </c>
    </row>
    <row r="50" spans="1:34" x14ac:dyDescent="0.3">
      <c r="A50" s="230">
        <v>46</v>
      </c>
      <c r="B50" s="34" t="s">
        <v>26</v>
      </c>
      <c r="C50" s="34" t="s">
        <v>87</v>
      </c>
      <c r="D50" s="35" t="s">
        <v>126</v>
      </c>
      <c r="E50" s="35" t="s">
        <v>29</v>
      </c>
      <c r="F50" s="36" t="s">
        <v>30</v>
      </c>
      <c r="G50" s="37" t="s">
        <v>31</v>
      </c>
      <c r="H50" s="38">
        <f t="shared" si="0"/>
        <v>2985.2999999999997</v>
      </c>
      <c r="I50" s="39"/>
      <c r="J50" s="40">
        <v>2258.6999999999998</v>
      </c>
      <c r="K50" s="41">
        <f t="shared" si="3"/>
        <v>2258.6999999999998</v>
      </c>
      <c r="L50" s="42">
        <v>360.9</v>
      </c>
      <c r="M50" s="42"/>
      <c r="N50" s="40">
        <v>312.39999999999998</v>
      </c>
      <c r="O50" s="43">
        <f t="shared" si="1"/>
        <v>365.7</v>
      </c>
      <c r="P50" s="40">
        <v>307</v>
      </c>
      <c r="Q50" s="40">
        <v>20.3</v>
      </c>
      <c r="R50" s="40">
        <v>38.4</v>
      </c>
      <c r="S50" s="44">
        <f t="shared" si="2"/>
        <v>2619.6</v>
      </c>
      <c r="T50" s="35" t="s">
        <v>127</v>
      </c>
      <c r="U50" s="70" t="s">
        <v>90</v>
      </c>
      <c r="V50" s="71" t="s">
        <v>126</v>
      </c>
      <c r="W50" s="71" t="s">
        <v>29</v>
      </c>
      <c r="X50" s="70" t="s">
        <v>29</v>
      </c>
      <c r="Y50" s="72" t="e">
        <f>#REF!-H50</f>
        <v>#REF!</v>
      </c>
      <c r="Z50" s="73" t="e">
        <f>#REF!-J50</f>
        <v>#REF!</v>
      </c>
      <c r="AA50" s="74" t="e">
        <f>#REF!-L50</f>
        <v>#REF!</v>
      </c>
      <c r="AB50" s="73" t="e">
        <f>#REF!-N50</f>
        <v>#REF!</v>
      </c>
      <c r="AC50" s="72" t="e">
        <f>(#REF!+#REF!)-S50</f>
        <v>#REF!</v>
      </c>
      <c r="AD50" s="50" t="e">
        <f>AC50/(#REF!+#REF!)*100</f>
        <v>#REF!</v>
      </c>
      <c r="AH50" s="33" t="s">
        <v>34</v>
      </c>
    </row>
    <row r="51" spans="1:34" s="69" customFormat="1" x14ac:dyDescent="0.3">
      <c r="A51" s="101">
        <v>47</v>
      </c>
      <c r="B51" s="34" t="s">
        <v>26</v>
      </c>
      <c r="C51" s="34" t="s">
        <v>87</v>
      </c>
      <c r="D51" s="35" t="s">
        <v>128</v>
      </c>
      <c r="E51" s="35" t="s">
        <v>29</v>
      </c>
      <c r="F51" s="36" t="s">
        <v>30</v>
      </c>
      <c r="G51" s="37" t="s">
        <v>31</v>
      </c>
      <c r="H51" s="38">
        <f t="shared" si="0"/>
        <v>333.1</v>
      </c>
      <c r="I51" s="39"/>
      <c r="J51" s="40">
        <v>295.60000000000002</v>
      </c>
      <c r="K51" s="41">
        <f t="shared" si="3"/>
        <v>295.60000000000002</v>
      </c>
      <c r="L51" s="42">
        <v>0</v>
      </c>
      <c r="M51" s="42"/>
      <c r="N51" s="40">
        <v>50</v>
      </c>
      <c r="O51" s="43">
        <f t="shared" si="1"/>
        <v>37.5</v>
      </c>
      <c r="P51" s="40">
        <v>37.5</v>
      </c>
      <c r="Q51" s="40"/>
      <c r="R51" s="40"/>
      <c r="S51" s="76">
        <f t="shared" si="2"/>
        <v>295.60000000000002</v>
      </c>
      <c r="T51" s="35" t="s">
        <v>129</v>
      </c>
      <c r="U51" s="34" t="s">
        <v>90</v>
      </c>
      <c r="V51" s="35" t="s">
        <v>128</v>
      </c>
      <c r="W51" s="35" t="s">
        <v>29</v>
      </c>
      <c r="X51" s="34" t="s">
        <v>29</v>
      </c>
      <c r="Y51" s="77" t="e">
        <f>#REF!-H51</f>
        <v>#REF!</v>
      </c>
      <c r="Z51" s="78" t="e">
        <f>#REF!-J51</f>
        <v>#REF!</v>
      </c>
      <c r="AA51" s="79" t="e">
        <f>#REF!-L51</f>
        <v>#REF!</v>
      </c>
      <c r="AB51" s="78" t="e">
        <f>#REF!-N51</f>
        <v>#REF!</v>
      </c>
      <c r="AC51" s="77" t="e">
        <f>(#REF!+#REF!)-S51</f>
        <v>#REF!</v>
      </c>
      <c r="AD51" s="80" t="e">
        <f>AC51/(#REF!+#REF!)*100</f>
        <v>#REF!</v>
      </c>
      <c r="AG51" s="81"/>
      <c r="AH51" s="33" t="s">
        <v>34</v>
      </c>
    </row>
    <row r="52" spans="1:34" s="69" customFormat="1" x14ac:dyDescent="0.3">
      <c r="A52" s="75">
        <v>48</v>
      </c>
      <c r="B52" s="34" t="s">
        <v>26</v>
      </c>
      <c r="C52" s="34" t="s">
        <v>87</v>
      </c>
      <c r="D52" s="35" t="s">
        <v>130</v>
      </c>
      <c r="E52" s="35" t="s">
        <v>29</v>
      </c>
      <c r="F52" s="36" t="s">
        <v>30</v>
      </c>
      <c r="G52" s="37" t="s">
        <v>31</v>
      </c>
      <c r="H52" s="38">
        <f t="shared" si="0"/>
        <v>7440.87</v>
      </c>
      <c r="I52" s="39"/>
      <c r="J52" s="40">
        <v>5407.87</v>
      </c>
      <c r="K52" s="41">
        <f t="shared" si="3"/>
        <v>5407.87</v>
      </c>
      <c r="L52" s="42">
        <v>1014.2</v>
      </c>
      <c r="M52" s="42"/>
      <c r="N52" s="40">
        <v>1098</v>
      </c>
      <c r="O52" s="43">
        <f t="shared" si="1"/>
        <v>1018.8000000000001</v>
      </c>
      <c r="P52" s="40">
        <v>926</v>
      </c>
      <c r="Q52" s="40">
        <f>16.9+11.8</f>
        <v>28.7</v>
      </c>
      <c r="R52" s="40">
        <v>64.099999999999994</v>
      </c>
      <c r="S52" s="76">
        <f t="shared" si="2"/>
        <v>6422.07</v>
      </c>
      <c r="T52" s="35" t="s">
        <v>131</v>
      </c>
      <c r="U52" s="34" t="s">
        <v>90</v>
      </c>
      <c r="V52" s="35" t="s">
        <v>130</v>
      </c>
      <c r="W52" s="35" t="s">
        <v>29</v>
      </c>
      <c r="X52" s="34" t="s">
        <v>29</v>
      </c>
      <c r="Y52" s="77" t="e">
        <f>#REF!-H52</f>
        <v>#REF!</v>
      </c>
      <c r="Z52" s="78" t="e">
        <f>#REF!-J52</f>
        <v>#REF!</v>
      </c>
      <c r="AA52" s="79" t="e">
        <f>#REF!-L52</f>
        <v>#REF!</v>
      </c>
      <c r="AB52" s="78" t="e">
        <f>#REF!-N52</f>
        <v>#REF!</v>
      </c>
      <c r="AC52" s="77" t="e">
        <f>(#REF!+#REF!)-S52</f>
        <v>#REF!</v>
      </c>
      <c r="AD52" s="80" t="e">
        <f>AC52/(#REF!+#REF!)*100</f>
        <v>#REF!</v>
      </c>
      <c r="AG52" s="81"/>
      <c r="AH52" s="33" t="s">
        <v>34</v>
      </c>
    </row>
    <row r="53" spans="1:34" s="69" customFormat="1" x14ac:dyDescent="0.3">
      <c r="A53" s="75">
        <v>49</v>
      </c>
      <c r="B53" s="34" t="s">
        <v>26</v>
      </c>
      <c r="C53" s="34" t="s">
        <v>87</v>
      </c>
      <c r="D53" s="35" t="s">
        <v>132</v>
      </c>
      <c r="E53" s="35" t="s">
        <v>29</v>
      </c>
      <c r="F53" s="36" t="s">
        <v>30</v>
      </c>
      <c r="G53" s="37" t="s">
        <v>31</v>
      </c>
      <c r="H53" s="38">
        <f t="shared" si="0"/>
        <v>5691.2000000000007</v>
      </c>
      <c r="I53" s="39">
        <v>0</v>
      </c>
      <c r="J53" s="40">
        <f>4661.06+29.54</f>
        <v>4690.6000000000004</v>
      </c>
      <c r="K53" s="41">
        <f t="shared" si="3"/>
        <v>4690.6000000000004</v>
      </c>
      <c r="L53" s="42">
        <f>193.3+210.6-82.8</f>
        <v>321.09999999999997</v>
      </c>
      <c r="M53" s="42">
        <f>193.3+210.6-82.8</f>
        <v>321.09999999999997</v>
      </c>
      <c r="N53" s="40">
        <v>583</v>
      </c>
      <c r="O53" s="43">
        <f t="shared" si="1"/>
        <v>679.5</v>
      </c>
      <c r="P53" s="40">
        <v>583</v>
      </c>
      <c r="Q53" s="40">
        <v>13.7</v>
      </c>
      <c r="R53" s="40">
        <v>82.8</v>
      </c>
      <c r="S53" s="76">
        <f t="shared" si="2"/>
        <v>5011.7000000000007</v>
      </c>
      <c r="T53" s="35" t="s">
        <v>133</v>
      </c>
      <c r="U53" s="34" t="s">
        <v>90</v>
      </c>
      <c r="V53" s="35" t="s">
        <v>132</v>
      </c>
      <c r="W53" s="35" t="s">
        <v>29</v>
      </c>
      <c r="X53" s="34" t="s">
        <v>29</v>
      </c>
      <c r="Y53" s="77" t="e">
        <f>#REF!-H53</f>
        <v>#REF!</v>
      </c>
      <c r="Z53" s="78" t="e">
        <f>#REF!-J53</f>
        <v>#REF!</v>
      </c>
      <c r="AA53" s="79" t="e">
        <f>#REF!-L53</f>
        <v>#REF!</v>
      </c>
      <c r="AB53" s="78" t="e">
        <f>#REF!-N53</f>
        <v>#REF!</v>
      </c>
      <c r="AC53" s="77" t="e">
        <f>(#REF!+#REF!)-S53</f>
        <v>#REF!</v>
      </c>
      <c r="AD53" s="80" t="e">
        <f>AC53/(#REF!+#REF!)*100</f>
        <v>#REF!</v>
      </c>
      <c r="AG53" s="81"/>
      <c r="AH53" s="33" t="s">
        <v>34</v>
      </c>
    </row>
    <row r="54" spans="1:34" s="69" customFormat="1" x14ac:dyDescent="0.3">
      <c r="A54" s="101">
        <v>50</v>
      </c>
      <c r="B54" s="34" t="s">
        <v>26</v>
      </c>
      <c r="C54" s="34" t="s">
        <v>87</v>
      </c>
      <c r="D54" s="35" t="s">
        <v>134</v>
      </c>
      <c r="E54" s="35" t="s">
        <v>29</v>
      </c>
      <c r="F54" s="36" t="s">
        <v>30</v>
      </c>
      <c r="G54" s="37" t="s">
        <v>31</v>
      </c>
      <c r="H54" s="38">
        <f t="shared" si="0"/>
        <v>533.26</v>
      </c>
      <c r="I54" s="39"/>
      <c r="J54" s="40">
        <v>430.66</v>
      </c>
      <c r="K54" s="41">
        <f t="shared" si="3"/>
        <v>430.66</v>
      </c>
      <c r="L54" s="42">
        <v>0</v>
      </c>
      <c r="M54" s="42"/>
      <c r="N54" s="40">
        <v>160</v>
      </c>
      <c r="O54" s="43">
        <f t="shared" si="1"/>
        <v>102.6</v>
      </c>
      <c r="P54" s="40">
        <v>102.6</v>
      </c>
      <c r="Q54" s="40"/>
      <c r="R54" s="40">
        <v>0</v>
      </c>
      <c r="S54" s="76">
        <f t="shared" si="2"/>
        <v>430.66</v>
      </c>
      <c r="T54" s="35" t="s">
        <v>135</v>
      </c>
      <c r="U54" s="34" t="s">
        <v>90</v>
      </c>
      <c r="V54" s="35" t="s">
        <v>134</v>
      </c>
      <c r="W54" s="35" t="s">
        <v>29</v>
      </c>
      <c r="X54" s="34" t="s">
        <v>29</v>
      </c>
      <c r="Y54" s="77" t="e">
        <f>#REF!-H54</f>
        <v>#REF!</v>
      </c>
      <c r="Z54" s="78" t="e">
        <f>#REF!-J54</f>
        <v>#REF!</v>
      </c>
      <c r="AA54" s="79" t="e">
        <f>#REF!-L54</f>
        <v>#REF!</v>
      </c>
      <c r="AB54" s="78" t="e">
        <f>#REF!-N54</f>
        <v>#REF!</v>
      </c>
      <c r="AC54" s="77" t="e">
        <f>(#REF!+#REF!)-S54</f>
        <v>#REF!</v>
      </c>
      <c r="AD54" s="80" t="e">
        <f>AC54/(#REF!+#REF!)*100</f>
        <v>#REF!</v>
      </c>
      <c r="AG54" s="81"/>
      <c r="AH54" s="33" t="s">
        <v>34</v>
      </c>
    </row>
    <row r="55" spans="1:34" s="69" customFormat="1" x14ac:dyDescent="0.3">
      <c r="A55" s="75">
        <v>51</v>
      </c>
      <c r="B55" s="34" t="s">
        <v>26</v>
      </c>
      <c r="C55" s="34" t="s">
        <v>87</v>
      </c>
      <c r="D55" s="35" t="s">
        <v>136</v>
      </c>
      <c r="E55" s="35" t="s">
        <v>29</v>
      </c>
      <c r="F55" s="36" t="s">
        <v>30</v>
      </c>
      <c r="G55" s="37"/>
      <c r="H55" s="38">
        <f t="shared" si="0"/>
        <v>7564.0899999999992</v>
      </c>
      <c r="I55" s="39"/>
      <c r="J55" s="40">
        <v>5644.19</v>
      </c>
      <c r="K55" s="41">
        <f t="shared" si="3"/>
        <v>5644.19</v>
      </c>
      <c r="L55" s="42">
        <f>771+57.5</f>
        <v>828.5</v>
      </c>
      <c r="M55" s="42"/>
      <c r="N55" s="40">
        <v>885</v>
      </c>
      <c r="O55" s="43">
        <f t="shared" si="1"/>
        <v>1091.3999999999999</v>
      </c>
      <c r="P55" s="40">
        <v>885</v>
      </c>
      <c r="Q55" s="40">
        <v>128.30000000000001</v>
      </c>
      <c r="R55" s="40">
        <v>78.099999999999994</v>
      </c>
      <c r="S55" s="76">
        <f t="shared" si="2"/>
        <v>6472.69</v>
      </c>
      <c r="T55" s="35" t="s">
        <v>137</v>
      </c>
      <c r="U55" s="34" t="s">
        <v>90</v>
      </c>
      <c r="V55" s="35" t="s">
        <v>136</v>
      </c>
      <c r="W55" s="35" t="s">
        <v>29</v>
      </c>
      <c r="X55" s="34" t="s">
        <v>29</v>
      </c>
      <c r="Y55" s="77" t="e">
        <f>#REF!-H55</f>
        <v>#REF!</v>
      </c>
      <c r="Z55" s="78" t="e">
        <f>#REF!-J55</f>
        <v>#REF!</v>
      </c>
      <c r="AA55" s="79" t="e">
        <f>#REF!-L55</f>
        <v>#REF!</v>
      </c>
      <c r="AB55" s="78" t="e">
        <f>#REF!-N55</f>
        <v>#REF!</v>
      </c>
      <c r="AC55" s="77" t="e">
        <f>(#REF!+#REF!)-S55</f>
        <v>#REF!</v>
      </c>
      <c r="AD55" s="80" t="e">
        <f>AC55/(#REF!+#REF!)*100</f>
        <v>#REF!</v>
      </c>
      <c r="AG55" s="81"/>
      <c r="AH55" s="33" t="s">
        <v>34</v>
      </c>
    </row>
    <row r="56" spans="1:34" s="69" customFormat="1" x14ac:dyDescent="0.3">
      <c r="A56" s="75">
        <v>52</v>
      </c>
      <c r="B56" s="34" t="s">
        <v>26</v>
      </c>
      <c r="C56" s="34" t="s">
        <v>87</v>
      </c>
      <c r="D56" s="35" t="s">
        <v>138</v>
      </c>
      <c r="E56" s="35" t="s">
        <v>29</v>
      </c>
      <c r="F56" s="36" t="s">
        <v>30</v>
      </c>
      <c r="G56" s="37"/>
      <c r="H56" s="105">
        <f t="shared" si="0"/>
        <v>5783.27</v>
      </c>
      <c r="I56" s="39"/>
      <c r="J56" s="40">
        <v>4271.7700000000004</v>
      </c>
      <c r="K56" s="41">
        <f t="shared" si="3"/>
        <v>4271.7700000000004</v>
      </c>
      <c r="L56" s="106">
        <f>594.6+129.8+68.4+77.8</f>
        <v>870.6</v>
      </c>
      <c r="M56" s="106">
        <f>129.8+68.4+77.8</f>
        <v>276</v>
      </c>
      <c r="N56" s="40">
        <v>919.6</v>
      </c>
      <c r="O56" s="39">
        <f t="shared" si="1"/>
        <v>640.9</v>
      </c>
      <c r="P56" s="40">
        <v>561</v>
      </c>
      <c r="Q56" s="107">
        <v>79.900000000000006</v>
      </c>
      <c r="R56" s="40"/>
      <c r="S56" s="76">
        <f t="shared" si="2"/>
        <v>5142.3700000000008</v>
      </c>
      <c r="T56" s="35" t="s">
        <v>139</v>
      </c>
      <c r="U56" s="34" t="s">
        <v>90</v>
      </c>
      <c r="V56" s="35" t="s">
        <v>138</v>
      </c>
      <c r="W56" s="35" t="s">
        <v>29</v>
      </c>
      <c r="X56" s="34" t="s">
        <v>29</v>
      </c>
      <c r="Y56" s="77" t="e">
        <f>#REF!-H56</f>
        <v>#REF!</v>
      </c>
      <c r="Z56" s="78" t="e">
        <f>#REF!-J56</f>
        <v>#REF!</v>
      </c>
      <c r="AA56" s="79" t="e">
        <f>#REF!-L56</f>
        <v>#REF!</v>
      </c>
      <c r="AB56" s="78" t="e">
        <f>#REF!-N56</f>
        <v>#REF!</v>
      </c>
      <c r="AC56" s="77" t="e">
        <f>(#REF!+#REF!)-S56</f>
        <v>#REF!</v>
      </c>
      <c r="AD56" s="80" t="e">
        <f>AC56/(#REF!+#REF!)*100</f>
        <v>#REF!</v>
      </c>
      <c r="AG56" s="81"/>
      <c r="AH56" s="33" t="s">
        <v>34</v>
      </c>
    </row>
    <row r="57" spans="1:34" s="69" customFormat="1" x14ac:dyDescent="0.3">
      <c r="A57" s="101">
        <v>53</v>
      </c>
      <c r="B57" s="34" t="s">
        <v>26</v>
      </c>
      <c r="C57" s="34" t="s">
        <v>87</v>
      </c>
      <c r="D57" s="35" t="s">
        <v>140</v>
      </c>
      <c r="E57" s="35" t="s">
        <v>29</v>
      </c>
      <c r="F57" s="36" t="s">
        <v>30</v>
      </c>
      <c r="G57" s="37" t="s">
        <v>31</v>
      </c>
      <c r="H57" s="38">
        <f t="shared" si="0"/>
        <v>4524.6400000000003</v>
      </c>
      <c r="I57" s="39">
        <v>10.050000000000001</v>
      </c>
      <c r="J57" s="40">
        <v>3341.39</v>
      </c>
      <c r="K57" s="41">
        <f t="shared" si="3"/>
        <v>3351.44</v>
      </c>
      <c r="L57" s="42">
        <v>770.7</v>
      </c>
      <c r="M57" s="42"/>
      <c r="N57" s="40">
        <v>402.5</v>
      </c>
      <c r="O57" s="43">
        <f t="shared" si="1"/>
        <v>402.5</v>
      </c>
      <c r="P57" s="40">
        <v>373.9</v>
      </c>
      <c r="Q57" s="40">
        <v>28.6</v>
      </c>
      <c r="R57" s="40"/>
      <c r="S57" s="76">
        <f t="shared" si="2"/>
        <v>4122.1400000000003</v>
      </c>
      <c r="T57" s="35" t="s">
        <v>141</v>
      </c>
      <c r="U57" s="34" t="s">
        <v>90</v>
      </c>
      <c r="V57" s="35" t="s">
        <v>140</v>
      </c>
      <c r="W57" s="35" t="s">
        <v>29</v>
      </c>
      <c r="X57" s="34" t="s">
        <v>29</v>
      </c>
      <c r="Y57" s="77" t="e">
        <f>#REF!-H57</f>
        <v>#REF!</v>
      </c>
      <c r="Z57" s="78" t="e">
        <f>#REF!-J57</f>
        <v>#REF!</v>
      </c>
      <c r="AA57" s="79" t="e">
        <f>#REF!-L57</f>
        <v>#REF!</v>
      </c>
      <c r="AB57" s="78" t="e">
        <f>#REF!-N57</f>
        <v>#REF!</v>
      </c>
      <c r="AC57" s="77" t="e">
        <f>(#REF!+#REF!)-S57</f>
        <v>#REF!</v>
      </c>
      <c r="AD57" s="80" t="e">
        <f>AC57/(#REF!+#REF!)*100</f>
        <v>#REF!</v>
      </c>
      <c r="AG57" s="81"/>
      <c r="AH57" s="33" t="s">
        <v>34</v>
      </c>
    </row>
    <row r="58" spans="1:34" s="69" customFormat="1" x14ac:dyDescent="0.3">
      <c r="A58" s="75">
        <v>54</v>
      </c>
      <c r="B58" s="34" t="s">
        <v>26</v>
      </c>
      <c r="C58" s="34" t="s">
        <v>87</v>
      </c>
      <c r="D58" s="35" t="s">
        <v>142</v>
      </c>
      <c r="E58" s="35" t="s">
        <v>29</v>
      </c>
      <c r="F58" s="36" t="s">
        <v>30</v>
      </c>
      <c r="G58" s="37"/>
      <c r="H58" s="38">
        <f t="shared" si="0"/>
        <v>7007.49</v>
      </c>
      <c r="I58" s="39"/>
      <c r="J58" s="40">
        <v>5275.19</v>
      </c>
      <c r="K58" s="41">
        <f t="shared" si="3"/>
        <v>5275.19</v>
      </c>
      <c r="L58" s="42">
        <v>1066.4000000000001</v>
      </c>
      <c r="M58" s="42"/>
      <c r="N58" s="40">
        <v>625</v>
      </c>
      <c r="O58" s="43">
        <f t="shared" si="1"/>
        <v>665.9</v>
      </c>
      <c r="P58" s="40">
        <v>625</v>
      </c>
      <c r="Q58" s="40">
        <v>40.9</v>
      </c>
      <c r="R58" s="40"/>
      <c r="S58" s="76">
        <f t="shared" si="2"/>
        <v>6341.59</v>
      </c>
      <c r="T58" s="35" t="s">
        <v>143</v>
      </c>
      <c r="U58" s="34" t="s">
        <v>90</v>
      </c>
      <c r="V58" s="35" t="s">
        <v>142</v>
      </c>
      <c r="W58" s="35" t="s">
        <v>29</v>
      </c>
      <c r="X58" s="34" t="s">
        <v>29</v>
      </c>
      <c r="Y58" s="77" t="e">
        <f>#REF!-H58</f>
        <v>#REF!</v>
      </c>
      <c r="Z58" s="78" t="e">
        <f>#REF!-J58</f>
        <v>#REF!</v>
      </c>
      <c r="AA58" s="79" t="e">
        <f>#REF!-L58</f>
        <v>#REF!</v>
      </c>
      <c r="AB58" s="78" t="e">
        <f>#REF!-N58</f>
        <v>#REF!</v>
      </c>
      <c r="AC58" s="77" t="e">
        <f>(#REF!+#REF!)-S58</f>
        <v>#REF!</v>
      </c>
      <c r="AD58" s="80" t="e">
        <f>AC58/(#REF!+#REF!)*100</f>
        <v>#REF!</v>
      </c>
      <c r="AG58" s="81"/>
      <c r="AH58" s="33" t="s">
        <v>34</v>
      </c>
    </row>
    <row r="59" spans="1:34" s="69" customFormat="1" x14ac:dyDescent="0.3">
      <c r="A59" s="75">
        <v>55</v>
      </c>
      <c r="B59" s="34" t="s">
        <v>26</v>
      </c>
      <c r="C59" s="34" t="s">
        <v>87</v>
      </c>
      <c r="D59" s="35" t="s">
        <v>144</v>
      </c>
      <c r="E59" s="35" t="s">
        <v>29</v>
      </c>
      <c r="F59" s="36" t="s">
        <v>30</v>
      </c>
      <c r="G59" s="37"/>
      <c r="H59" s="38">
        <f t="shared" si="0"/>
        <v>6244.06</v>
      </c>
      <c r="I59" s="39"/>
      <c r="J59" s="40">
        <v>5247.76</v>
      </c>
      <c r="K59" s="41">
        <f t="shared" si="3"/>
        <v>5247.76</v>
      </c>
      <c r="L59" s="42">
        <f>337.1+42.2</f>
        <v>379.3</v>
      </c>
      <c r="M59" s="42"/>
      <c r="N59" s="40">
        <v>616.70000000000005</v>
      </c>
      <c r="O59" s="43">
        <f t="shared" si="1"/>
        <v>617</v>
      </c>
      <c r="P59" s="40">
        <v>539</v>
      </c>
      <c r="Q59" s="40">
        <v>78</v>
      </c>
      <c r="R59" s="40"/>
      <c r="S59" s="76">
        <f t="shared" si="2"/>
        <v>5627.06</v>
      </c>
      <c r="T59" s="35" t="s">
        <v>145</v>
      </c>
      <c r="U59" s="34" t="s">
        <v>90</v>
      </c>
      <c r="V59" s="35" t="s">
        <v>144</v>
      </c>
      <c r="W59" s="35" t="s">
        <v>29</v>
      </c>
      <c r="X59" s="34" t="s">
        <v>29</v>
      </c>
      <c r="Y59" s="77" t="e">
        <f>#REF!-H59</f>
        <v>#REF!</v>
      </c>
      <c r="Z59" s="78" t="e">
        <f>#REF!-J59</f>
        <v>#REF!</v>
      </c>
      <c r="AA59" s="79" t="e">
        <f>#REF!-L59</f>
        <v>#REF!</v>
      </c>
      <c r="AB59" s="78" t="e">
        <f>#REF!-N59</f>
        <v>#REF!</v>
      </c>
      <c r="AC59" s="77" t="e">
        <f>(#REF!+#REF!)-S59</f>
        <v>#REF!</v>
      </c>
      <c r="AD59" s="80" t="e">
        <f>AC59/(#REF!+#REF!)*100</f>
        <v>#REF!</v>
      </c>
      <c r="AG59" s="81"/>
      <c r="AH59" s="33" t="s">
        <v>34</v>
      </c>
    </row>
    <row r="60" spans="1:34" s="69" customFormat="1" x14ac:dyDescent="0.3">
      <c r="A60" s="101">
        <v>56</v>
      </c>
      <c r="B60" s="34" t="s">
        <v>26</v>
      </c>
      <c r="C60" s="34" t="s">
        <v>87</v>
      </c>
      <c r="D60" s="35" t="s">
        <v>146</v>
      </c>
      <c r="E60" s="35" t="s">
        <v>29</v>
      </c>
      <c r="F60" s="36" t="s">
        <v>30</v>
      </c>
      <c r="G60" s="37"/>
      <c r="H60" s="38">
        <f t="shared" si="0"/>
        <v>4645.51</v>
      </c>
      <c r="I60" s="39">
        <v>0</v>
      </c>
      <c r="J60" s="40">
        <f>4191.81-1.3</f>
        <v>4190.51</v>
      </c>
      <c r="K60" s="41">
        <f t="shared" si="3"/>
        <v>4190.51</v>
      </c>
      <c r="L60" s="42">
        <v>0</v>
      </c>
      <c r="M60" s="42"/>
      <c r="N60" s="40">
        <v>455</v>
      </c>
      <c r="O60" s="43">
        <f t="shared" si="1"/>
        <v>455</v>
      </c>
      <c r="P60" s="40">
        <v>455</v>
      </c>
      <c r="Q60" s="40"/>
      <c r="R60" s="40"/>
      <c r="S60" s="76">
        <f t="shared" si="2"/>
        <v>4190.51</v>
      </c>
      <c r="T60" s="35" t="s">
        <v>147</v>
      </c>
      <c r="U60" s="34" t="s">
        <v>90</v>
      </c>
      <c r="V60" s="35" t="s">
        <v>146</v>
      </c>
      <c r="W60" s="35" t="s">
        <v>29</v>
      </c>
      <c r="X60" s="34" t="s">
        <v>29</v>
      </c>
      <c r="Y60" s="77" t="e">
        <f>#REF!-H60</f>
        <v>#REF!</v>
      </c>
      <c r="Z60" s="78" t="e">
        <f>#REF!-J60</f>
        <v>#REF!</v>
      </c>
      <c r="AA60" s="79" t="e">
        <f>#REF!-L60</f>
        <v>#REF!</v>
      </c>
      <c r="AB60" s="78" t="e">
        <f>#REF!-N60</f>
        <v>#REF!</v>
      </c>
      <c r="AC60" s="77" t="e">
        <f>(#REF!+#REF!)-S60</f>
        <v>#REF!</v>
      </c>
      <c r="AD60" s="80" t="e">
        <f>AC60/(#REF!+#REF!)*100</f>
        <v>#REF!</v>
      </c>
      <c r="AG60" s="81"/>
      <c r="AH60" s="33" t="s">
        <v>34</v>
      </c>
    </row>
    <row r="61" spans="1:34" s="69" customFormat="1" x14ac:dyDescent="0.3">
      <c r="A61" s="75">
        <v>57</v>
      </c>
      <c r="B61" s="34" t="s">
        <v>26</v>
      </c>
      <c r="C61" s="34" t="s">
        <v>87</v>
      </c>
      <c r="D61" s="35" t="s">
        <v>148</v>
      </c>
      <c r="E61" s="108" t="s">
        <v>149</v>
      </c>
      <c r="F61" s="36" t="s">
        <v>30</v>
      </c>
      <c r="G61" s="37" t="s">
        <v>31</v>
      </c>
      <c r="H61" s="38">
        <f t="shared" si="0"/>
        <v>3163.54</v>
      </c>
      <c r="I61" s="39">
        <v>23.78</v>
      </c>
      <c r="J61" s="40">
        <f>2226.84-28.12+28.12-23.78</f>
        <v>2203.06</v>
      </c>
      <c r="K61" s="41">
        <f t="shared" si="3"/>
        <v>2226.84</v>
      </c>
      <c r="L61" s="42">
        <f>61.5+112.6-2.4</f>
        <v>171.7</v>
      </c>
      <c r="M61" s="42"/>
      <c r="N61" s="42">
        <v>765</v>
      </c>
      <c r="O61" s="43">
        <f t="shared" si="1"/>
        <v>765</v>
      </c>
      <c r="P61" s="42">
        <v>336</v>
      </c>
      <c r="Q61" s="42"/>
      <c r="R61" s="42">
        <v>429</v>
      </c>
      <c r="S61" s="76">
        <f t="shared" si="2"/>
        <v>2398.54</v>
      </c>
      <c r="T61" s="35" t="s">
        <v>150</v>
      </c>
      <c r="U61" s="34" t="s">
        <v>90</v>
      </c>
      <c r="V61" s="35" t="s">
        <v>148</v>
      </c>
      <c r="W61" s="35" t="s">
        <v>29</v>
      </c>
      <c r="X61" s="34" t="s">
        <v>29</v>
      </c>
      <c r="Y61" s="77" t="e">
        <f>#REF!-H61</f>
        <v>#REF!</v>
      </c>
      <c r="Z61" s="78" t="e">
        <f>#REF!-J61</f>
        <v>#REF!</v>
      </c>
      <c r="AA61" s="79" t="e">
        <f>#REF!-L61</f>
        <v>#REF!</v>
      </c>
      <c r="AB61" s="78" t="e">
        <f>#REF!-N61</f>
        <v>#REF!</v>
      </c>
      <c r="AC61" s="77" t="e">
        <f>(#REF!+#REF!)-S61</f>
        <v>#REF!</v>
      </c>
      <c r="AD61" s="80" t="e">
        <f>AC61/(#REF!+#REF!)*100</f>
        <v>#REF!</v>
      </c>
      <c r="AG61" s="81"/>
      <c r="AH61" s="33" t="s">
        <v>34</v>
      </c>
    </row>
    <row r="62" spans="1:34" s="69" customFormat="1" x14ac:dyDescent="0.3">
      <c r="A62" s="75">
        <v>58</v>
      </c>
      <c r="B62" s="34" t="s">
        <v>26</v>
      </c>
      <c r="C62" s="34" t="s">
        <v>87</v>
      </c>
      <c r="D62" s="35" t="s">
        <v>148</v>
      </c>
      <c r="E62" s="35"/>
      <c r="F62" s="36" t="s">
        <v>43</v>
      </c>
      <c r="G62" s="37" t="s">
        <v>31</v>
      </c>
      <c r="H62" s="38">
        <f t="shared" si="0"/>
        <v>3160.5</v>
      </c>
      <c r="I62" s="39"/>
      <c r="J62" s="40">
        <v>1844.2</v>
      </c>
      <c r="K62" s="41">
        <f t="shared" si="3"/>
        <v>1844.2</v>
      </c>
      <c r="L62" s="42">
        <v>603.70000000000005</v>
      </c>
      <c r="M62" s="42"/>
      <c r="N62" s="42">
        <v>680.6</v>
      </c>
      <c r="O62" s="43">
        <f t="shared" si="1"/>
        <v>712.6</v>
      </c>
      <c r="P62" s="42">
        <v>219.6</v>
      </c>
      <c r="Q62" s="42"/>
      <c r="R62" s="42">
        <v>493</v>
      </c>
      <c r="S62" s="76">
        <f t="shared" si="2"/>
        <v>2447.9</v>
      </c>
      <c r="T62" s="35" t="s">
        <v>151</v>
      </c>
      <c r="U62" s="34" t="s">
        <v>90</v>
      </c>
      <c r="V62" s="35" t="s">
        <v>148</v>
      </c>
      <c r="W62" s="35" t="s">
        <v>29</v>
      </c>
      <c r="X62" s="34" t="s">
        <v>29</v>
      </c>
      <c r="Y62" s="77" t="e">
        <f>#REF!-H62</f>
        <v>#REF!</v>
      </c>
      <c r="Z62" s="78" t="e">
        <f>#REF!-J62</f>
        <v>#REF!</v>
      </c>
      <c r="AA62" s="79" t="e">
        <f>#REF!-L62</f>
        <v>#REF!</v>
      </c>
      <c r="AB62" s="78" t="e">
        <f>#REF!-N62</f>
        <v>#REF!</v>
      </c>
      <c r="AC62" s="77" t="e">
        <f>(#REF!+#REF!)-S62</f>
        <v>#REF!</v>
      </c>
      <c r="AD62" s="80" t="e">
        <f>AC62/(#REF!+#REF!)*100</f>
        <v>#REF!</v>
      </c>
      <c r="AG62" s="81"/>
      <c r="AH62" s="33" t="s">
        <v>34</v>
      </c>
    </row>
    <row r="63" spans="1:34" s="69" customFormat="1" x14ac:dyDescent="0.3">
      <c r="A63" s="101">
        <v>59</v>
      </c>
      <c r="B63" s="34" t="s">
        <v>26</v>
      </c>
      <c r="C63" s="34" t="s">
        <v>87</v>
      </c>
      <c r="D63" s="35" t="s">
        <v>148</v>
      </c>
      <c r="E63" s="35" t="s">
        <v>29</v>
      </c>
      <c r="F63" s="36" t="s">
        <v>56</v>
      </c>
      <c r="G63" s="37" t="s">
        <v>31</v>
      </c>
      <c r="H63" s="38">
        <f t="shared" si="0"/>
        <v>2044.3100000000002</v>
      </c>
      <c r="I63" s="39"/>
      <c r="J63" s="40">
        <v>810.97</v>
      </c>
      <c r="K63" s="41">
        <f t="shared" si="3"/>
        <v>810.97</v>
      </c>
      <c r="L63" s="42">
        <v>1118.6400000000001</v>
      </c>
      <c r="M63" s="42"/>
      <c r="N63" s="42">
        <v>224.13</v>
      </c>
      <c r="O63" s="43">
        <f t="shared" si="1"/>
        <v>114.69999999999997</v>
      </c>
      <c r="P63" s="42">
        <v>88.48</v>
      </c>
      <c r="Q63" s="42"/>
      <c r="R63" s="42">
        <f>369.02-342.8</f>
        <v>26.21999999999997</v>
      </c>
      <c r="S63" s="76">
        <f t="shared" si="2"/>
        <v>1929.6100000000001</v>
      </c>
      <c r="T63" s="35" t="s">
        <v>152</v>
      </c>
      <c r="U63" s="34" t="s">
        <v>90</v>
      </c>
      <c r="V63" s="35" t="s">
        <v>153</v>
      </c>
      <c r="W63" s="35" t="s">
        <v>29</v>
      </c>
      <c r="X63" s="34" t="s">
        <v>29</v>
      </c>
      <c r="Y63" s="77" t="e">
        <f>#REF!-H63</f>
        <v>#REF!</v>
      </c>
      <c r="Z63" s="78" t="e">
        <f>#REF!-J63</f>
        <v>#REF!</v>
      </c>
      <c r="AA63" s="79" t="e">
        <f>#REF!-L63</f>
        <v>#REF!</v>
      </c>
      <c r="AB63" s="78" t="e">
        <f>#REF!-N63</f>
        <v>#REF!</v>
      </c>
      <c r="AC63" s="77" t="e">
        <f>(#REF!+#REF!)-S63</f>
        <v>#REF!</v>
      </c>
      <c r="AD63" s="80" t="e">
        <f>AC63/(#REF!+#REF!)*100</f>
        <v>#REF!</v>
      </c>
      <c r="AE63" s="69">
        <f>N63/293.6</f>
        <v>0.76338555858310619</v>
      </c>
      <c r="AG63" s="81"/>
      <c r="AH63" s="33" t="s">
        <v>34</v>
      </c>
    </row>
    <row r="64" spans="1:34" x14ac:dyDescent="0.3">
      <c r="A64" s="230">
        <v>60</v>
      </c>
      <c r="B64" s="34" t="s">
        <v>26</v>
      </c>
      <c r="C64" s="34" t="s">
        <v>87</v>
      </c>
      <c r="D64" s="35" t="s">
        <v>148</v>
      </c>
      <c r="E64" s="35" t="s">
        <v>29</v>
      </c>
      <c r="F64" s="36" t="s">
        <v>56</v>
      </c>
      <c r="G64" s="37" t="s">
        <v>31</v>
      </c>
      <c r="H64" s="38">
        <f t="shared" si="0"/>
        <v>734.41000000000008</v>
      </c>
      <c r="I64" s="39"/>
      <c r="J64" s="40">
        <v>251.35</v>
      </c>
      <c r="K64" s="41">
        <f t="shared" si="3"/>
        <v>251.35</v>
      </c>
      <c r="L64" s="42">
        <v>341.26</v>
      </c>
      <c r="M64" s="42"/>
      <c r="N64" s="42">
        <v>69.47</v>
      </c>
      <c r="O64" s="43">
        <f t="shared" si="1"/>
        <v>141.80000000000001</v>
      </c>
      <c r="P64" s="42">
        <v>27.42</v>
      </c>
      <c r="Q64" s="42"/>
      <c r="R64" s="42">
        <v>114.38</v>
      </c>
      <c r="S64" s="44">
        <f t="shared" si="2"/>
        <v>592.61</v>
      </c>
      <c r="T64" s="35" t="s">
        <v>154</v>
      </c>
      <c r="U64" s="45" t="s">
        <v>90</v>
      </c>
      <c r="V64" s="46" t="s">
        <v>148</v>
      </c>
      <c r="W64" s="46" t="s">
        <v>29</v>
      </c>
      <c r="X64" s="45" t="s">
        <v>29</v>
      </c>
      <c r="Y64" s="72" t="e">
        <f>#REF!-H64</f>
        <v>#REF!</v>
      </c>
      <c r="Z64" s="73" t="e">
        <f>#REF!-J64</f>
        <v>#REF!</v>
      </c>
      <c r="AA64" s="74" t="e">
        <f>#REF!-L64</f>
        <v>#REF!</v>
      </c>
      <c r="AB64" s="73" t="e">
        <f>#REF!-N64</f>
        <v>#REF!</v>
      </c>
      <c r="AC64" s="72" t="e">
        <f>(#REF!+#REF!)-S64</f>
        <v>#REF!</v>
      </c>
      <c r="AD64" s="50" t="e">
        <f>AC64/(#REF!+#REF!)*100</f>
        <v>#REF!</v>
      </c>
      <c r="AE64" s="7">
        <f>N64/293.6</f>
        <v>0.23661444141689372</v>
      </c>
      <c r="AH64" s="33" t="s">
        <v>34</v>
      </c>
    </row>
    <row r="65" spans="1:34" x14ac:dyDescent="0.3">
      <c r="A65" s="230">
        <v>61</v>
      </c>
      <c r="B65" s="34" t="s">
        <v>26</v>
      </c>
      <c r="C65" s="34" t="s">
        <v>87</v>
      </c>
      <c r="D65" s="35" t="s">
        <v>148</v>
      </c>
      <c r="E65" s="35" t="s">
        <v>29</v>
      </c>
      <c r="F65" s="36" t="s">
        <v>155</v>
      </c>
      <c r="G65" s="37" t="s">
        <v>31</v>
      </c>
      <c r="H65" s="38">
        <f t="shared" si="0"/>
        <v>2107.3000000000002</v>
      </c>
      <c r="I65" s="39"/>
      <c r="J65" s="41">
        <v>1530</v>
      </c>
      <c r="K65" s="41">
        <f t="shared" si="3"/>
        <v>1530</v>
      </c>
      <c r="L65" s="42">
        <v>138</v>
      </c>
      <c r="M65" s="42"/>
      <c r="N65" s="42">
        <v>387.4</v>
      </c>
      <c r="O65" s="43">
        <f t="shared" si="1"/>
        <v>439.3</v>
      </c>
      <c r="P65" s="42">
        <v>163.30000000000001</v>
      </c>
      <c r="Q65" s="42"/>
      <c r="R65" s="42">
        <f>179.1+96.9</f>
        <v>276</v>
      </c>
      <c r="S65" s="44">
        <f t="shared" si="2"/>
        <v>1668</v>
      </c>
      <c r="T65" s="35" t="s">
        <v>156</v>
      </c>
      <c r="U65" s="70" t="s">
        <v>90</v>
      </c>
      <c r="V65" s="71" t="s">
        <v>148</v>
      </c>
      <c r="W65" s="71" t="s">
        <v>29</v>
      </c>
      <c r="X65" s="70" t="s">
        <v>29</v>
      </c>
      <c r="Y65" s="72" t="e">
        <f>#REF!-H65</f>
        <v>#REF!</v>
      </c>
      <c r="Z65" s="73" t="e">
        <f>#REF!-J65</f>
        <v>#REF!</v>
      </c>
      <c r="AA65" s="74" t="e">
        <f>#REF!-L65</f>
        <v>#REF!</v>
      </c>
      <c r="AB65" s="73" t="e">
        <f>#REF!-N65</f>
        <v>#REF!</v>
      </c>
      <c r="AC65" s="72" t="e">
        <f>(#REF!+#REF!)-S65</f>
        <v>#REF!</v>
      </c>
      <c r="AD65" s="50" t="e">
        <f>AC65/(#REF!+#REF!)*100</f>
        <v>#REF!</v>
      </c>
      <c r="AH65" s="33" t="s">
        <v>34</v>
      </c>
    </row>
    <row r="66" spans="1:34" x14ac:dyDescent="0.3">
      <c r="A66" s="232">
        <v>62</v>
      </c>
      <c r="B66" s="34" t="s">
        <v>26</v>
      </c>
      <c r="C66" s="34" t="s">
        <v>87</v>
      </c>
      <c r="D66" s="35" t="s">
        <v>148</v>
      </c>
      <c r="E66" s="35" t="s">
        <v>29</v>
      </c>
      <c r="F66" s="36" t="s">
        <v>103</v>
      </c>
      <c r="G66" s="37" t="s">
        <v>31</v>
      </c>
      <c r="H66" s="38">
        <f t="shared" si="0"/>
        <v>2007.88</v>
      </c>
      <c r="I66" s="39"/>
      <c r="J66" s="40">
        <v>1688.18</v>
      </c>
      <c r="K66" s="41">
        <f t="shared" si="3"/>
        <v>1688.18</v>
      </c>
      <c r="L66" s="42">
        <v>0</v>
      </c>
      <c r="M66" s="42"/>
      <c r="N66" s="42">
        <v>466.9</v>
      </c>
      <c r="O66" s="43">
        <f t="shared" si="1"/>
        <v>319.7</v>
      </c>
      <c r="P66" s="42">
        <v>143.5</v>
      </c>
      <c r="Q66" s="42"/>
      <c r="R66" s="42">
        <v>176.2</v>
      </c>
      <c r="S66" s="44">
        <f t="shared" si="2"/>
        <v>1688.18</v>
      </c>
      <c r="T66" s="35" t="s">
        <v>157</v>
      </c>
      <c r="U66" s="70" t="s">
        <v>90</v>
      </c>
      <c r="V66" s="71" t="s">
        <v>148</v>
      </c>
      <c r="W66" s="71" t="s">
        <v>29</v>
      </c>
      <c r="X66" s="70" t="s">
        <v>29</v>
      </c>
      <c r="Y66" s="72" t="e">
        <f>#REF!-H66</f>
        <v>#REF!</v>
      </c>
      <c r="Z66" s="73" t="e">
        <f>#REF!-J66</f>
        <v>#REF!</v>
      </c>
      <c r="AA66" s="74" t="e">
        <f>#REF!-L66</f>
        <v>#REF!</v>
      </c>
      <c r="AB66" s="73" t="e">
        <f>#REF!-N66</f>
        <v>#REF!</v>
      </c>
      <c r="AC66" s="72" t="e">
        <f>(#REF!+#REF!)-S66</f>
        <v>#REF!</v>
      </c>
      <c r="AD66" s="50" t="e">
        <f>AC66/(#REF!+#REF!)*100</f>
        <v>#REF!</v>
      </c>
      <c r="AH66" s="33" t="s">
        <v>34</v>
      </c>
    </row>
    <row r="67" spans="1:34" x14ac:dyDescent="0.3">
      <c r="A67" s="230">
        <v>63</v>
      </c>
      <c r="B67" s="34" t="s">
        <v>26</v>
      </c>
      <c r="C67" s="34" t="s">
        <v>87</v>
      </c>
      <c r="D67" s="35" t="s">
        <v>158</v>
      </c>
      <c r="E67" s="35" t="s">
        <v>29</v>
      </c>
      <c r="F67" s="36" t="s">
        <v>30</v>
      </c>
      <c r="G67" s="37"/>
      <c r="H67" s="38">
        <f t="shared" si="0"/>
        <v>6553.64</v>
      </c>
      <c r="I67" s="39"/>
      <c r="J67" s="40">
        <f>5494.22+22.72</f>
        <v>5516.9400000000005</v>
      </c>
      <c r="K67" s="41">
        <f t="shared" si="3"/>
        <v>5516.9400000000005</v>
      </c>
      <c r="L67" s="42">
        <v>251.7</v>
      </c>
      <c r="M67" s="42"/>
      <c r="N67" s="40">
        <v>725.52</v>
      </c>
      <c r="O67" s="43">
        <f t="shared" si="1"/>
        <v>785</v>
      </c>
      <c r="P67" s="40">
        <v>701</v>
      </c>
      <c r="Q67" s="40">
        <v>84</v>
      </c>
      <c r="R67" s="40"/>
      <c r="S67" s="44">
        <f t="shared" si="2"/>
        <v>5768.64</v>
      </c>
      <c r="T67" s="35" t="s">
        <v>159</v>
      </c>
      <c r="U67" s="70" t="s">
        <v>90</v>
      </c>
      <c r="V67" s="71" t="s">
        <v>158</v>
      </c>
      <c r="W67" s="71" t="s">
        <v>29</v>
      </c>
      <c r="X67" s="70" t="s">
        <v>29</v>
      </c>
      <c r="Y67" s="72" t="e">
        <f>#REF!-H67</f>
        <v>#REF!</v>
      </c>
      <c r="Z67" s="73" t="e">
        <f>#REF!-J67</f>
        <v>#REF!</v>
      </c>
      <c r="AA67" s="74" t="e">
        <f>#REF!-L67</f>
        <v>#REF!</v>
      </c>
      <c r="AB67" s="73" t="e">
        <f>#REF!-N67</f>
        <v>#REF!</v>
      </c>
      <c r="AC67" s="72" t="e">
        <f>(#REF!+#REF!)-S67</f>
        <v>#REF!</v>
      </c>
      <c r="AD67" s="50" t="e">
        <f>AC67/(#REF!+#REF!)*100</f>
        <v>#REF!</v>
      </c>
      <c r="AH67" s="33" t="s">
        <v>34</v>
      </c>
    </row>
    <row r="68" spans="1:34" s="69" customFormat="1" ht="21" x14ac:dyDescent="0.3">
      <c r="A68" s="233">
        <v>64</v>
      </c>
      <c r="B68" s="82" t="s">
        <v>26</v>
      </c>
      <c r="C68" s="82" t="s">
        <v>87</v>
      </c>
      <c r="D68" s="83" t="s">
        <v>160</v>
      </c>
      <c r="E68" s="83" t="s">
        <v>29</v>
      </c>
      <c r="F68" s="84" t="s">
        <v>30</v>
      </c>
      <c r="G68" s="85" t="s">
        <v>31</v>
      </c>
      <c r="H68" s="86">
        <f t="shared" si="0"/>
        <v>5158.1900000000005</v>
      </c>
      <c r="I68" s="87">
        <v>11.41</v>
      </c>
      <c r="J68" s="88">
        <v>4111.18</v>
      </c>
      <c r="K68" s="89">
        <f t="shared" si="3"/>
        <v>4122.59</v>
      </c>
      <c r="L68" s="90">
        <v>0</v>
      </c>
      <c r="M68" s="90"/>
      <c r="N68" s="88">
        <v>362.4</v>
      </c>
      <c r="O68" s="91">
        <f t="shared" si="1"/>
        <v>1035.5999999999999</v>
      </c>
      <c r="P68" s="88">
        <v>335</v>
      </c>
      <c r="Q68" s="88">
        <v>27.4</v>
      </c>
      <c r="R68" s="88">
        <v>673.2</v>
      </c>
      <c r="S68" s="92">
        <f t="shared" si="2"/>
        <v>4122.59</v>
      </c>
      <c r="T68" s="93" t="s">
        <v>57</v>
      </c>
      <c r="U68" s="82" t="s">
        <v>90</v>
      </c>
      <c r="V68" s="83" t="s">
        <v>160</v>
      </c>
      <c r="W68" s="83" t="s">
        <v>29</v>
      </c>
      <c r="X68" s="82" t="s">
        <v>29</v>
      </c>
      <c r="Y68" s="94" t="e">
        <f>#REF!-H68</f>
        <v>#REF!</v>
      </c>
      <c r="Z68" s="95" t="e">
        <f>#REF!-J68</f>
        <v>#REF!</v>
      </c>
      <c r="AA68" s="96" t="e">
        <f>#REF!-L68</f>
        <v>#REF!</v>
      </c>
      <c r="AB68" s="95" t="e">
        <f>#REF!-N68</f>
        <v>#REF!</v>
      </c>
      <c r="AC68" s="94" t="e">
        <f>(#REF!+#REF!)-S68</f>
        <v>#REF!</v>
      </c>
      <c r="AD68" s="97" t="e">
        <f>AC68/(#REF!+#REF!)*100</f>
        <v>#REF!</v>
      </c>
      <c r="AE68" s="98"/>
      <c r="AF68" s="98"/>
      <c r="AG68" s="99"/>
      <c r="AH68" s="100" t="s">
        <v>95</v>
      </c>
    </row>
    <row r="69" spans="1:34" x14ac:dyDescent="0.3">
      <c r="A69" s="232">
        <v>65</v>
      </c>
      <c r="B69" s="34" t="s">
        <v>26</v>
      </c>
      <c r="C69" s="34" t="s">
        <v>87</v>
      </c>
      <c r="D69" s="35" t="s">
        <v>160</v>
      </c>
      <c r="E69" s="35" t="s">
        <v>161</v>
      </c>
      <c r="F69" s="36" t="s">
        <v>30</v>
      </c>
      <c r="G69" s="37" t="s">
        <v>31</v>
      </c>
      <c r="H69" s="38">
        <f t="shared" ref="H69:H132" si="4">O69+S69</f>
        <v>7203.2999999999993</v>
      </c>
      <c r="I69" s="39"/>
      <c r="J69" s="40">
        <v>5956.7</v>
      </c>
      <c r="K69" s="41">
        <f t="shared" si="3"/>
        <v>5956.7</v>
      </c>
      <c r="L69" s="42">
        <v>444.7</v>
      </c>
      <c r="M69" s="42">
        <v>444.7</v>
      </c>
      <c r="N69" s="40">
        <v>793.4</v>
      </c>
      <c r="O69" s="43">
        <f t="shared" ref="O69:O132" si="5">P69+Q69+R69</f>
        <v>801.9</v>
      </c>
      <c r="P69" s="40">
        <v>746</v>
      </c>
      <c r="Q69" s="40">
        <v>55.9</v>
      </c>
      <c r="R69" s="40"/>
      <c r="S69" s="44">
        <f t="shared" ref="S69:S132" si="6">J69+L69+I69</f>
        <v>6401.4</v>
      </c>
      <c r="T69" s="35" t="s">
        <v>162</v>
      </c>
      <c r="U69" s="70" t="s">
        <v>90</v>
      </c>
      <c r="V69" s="71" t="s">
        <v>160</v>
      </c>
      <c r="W69" s="71" t="s">
        <v>161</v>
      </c>
      <c r="X69" s="70" t="s">
        <v>29</v>
      </c>
      <c r="Y69" s="72" t="e">
        <f>#REF!-H69</f>
        <v>#REF!</v>
      </c>
      <c r="Z69" s="73" t="e">
        <f>#REF!-J69</f>
        <v>#REF!</v>
      </c>
      <c r="AA69" s="74" t="e">
        <f>#REF!-L69</f>
        <v>#REF!</v>
      </c>
      <c r="AB69" s="73" t="e">
        <f>#REF!-N69</f>
        <v>#REF!</v>
      </c>
      <c r="AC69" s="72" t="e">
        <f>(#REF!+#REF!)-S69</f>
        <v>#REF!</v>
      </c>
      <c r="AD69" s="50" t="e">
        <f>AC69/(#REF!+#REF!)*100</f>
        <v>#REF!</v>
      </c>
      <c r="AH69" s="33" t="s">
        <v>34</v>
      </c>
    </row>
    <row r="70" spans="1:34" s="69" customFormat="1" x14ac:dyDescent="0.3">
      <c r="A70" s="75">
        <v>66</v>
      </c>
      <c r="B70" s="34" t="s">
        <v>26</v>
      </c>
      <c r="C70" s="34" t="s">
        <v>87</v>
      </c>
      <c r="D70" s="35" t="s">
        <v>163</v>
      </c>
      <c r="E70" s="35" t="s">
        <v>29</v>
      </c>
      <c r="F70" s="36" t="s">
        <v>30</v>
      </c>
      <c r="G70" s="37"/>
      <c r="H70" s="38">
        <f t="shared" si="4"/>
        <v>2810.1</v>
      </c>
      <c r="I70" s="39"/>
      <c r="J70" s="40">
        <v>2542.1</v>
      </c>
      <c r="K70" s="41">
        <f t="shared" ref="K70:K133" si="7">I70+J70</f>
        <v>2542.1</v>
      </c>
      <c r="L70" s="42">
        <v>0</v>
      </c>
      <c r="M70" s="42"/>
      <c r="N70" s="40">
        <v>312.17</v>
      </c>
      <c r="O70" s="43">
        <f t="shared" si="5"/>
        <v>268</v>
      </c>
      <c r="P70" s="40">
        <v>268</v>
      </c>
      <c r="Q70" s="40"/>
      <c r="R70" s="40"/>
      <c r="S70" s="76">
        <f t="shared" si="6"/>
        <v>2542.1</v>
      </c>
      <c r="T70" s="35" t="s">
        <v>164</v>
      </c>
      <c r="U70" s="34" t="s">
        <v>90</v>
      </c>
      <c r="V70" s="35" t="s">
        <v>163</v>
      </c>
      <c r="W70" s="35" t="s">
        <v>29</v>
      </c>
      <c r="X70" s="34" t="s">
        <v>29</v>
      </c>
      <c r="Y70" s="77" t="e">
        <f>#REF!-H70</f>
        <v>#REF!</v>
      </c>
      <c r="Z70" s="78" t="e">
        <f>#REF!-J70</f>
        <v>#REF!</v>
      </c>
      <c r="AA70" s="79" t="e">
        <f>#REF!-L70</f>
        <v>#REF!</v>
      </c>
      <c r="AB70" s="78" t="e">
        <f>#REF!-N70</f>
        <v>#REF!</v>
      </c>
      <c r="AC70" s="77" t="e">
        <f>(#REF!+#REF!)-S70</f>
        <v>#REF!</v>
      </c>
      <c r="AD70" s="80" t="e">
        <f>AC70/(#REF!+#REF!)*100</f>
        <v>#REF!</v>
      </c>
      <c r="AG70" s="81"/>
      <c r="AH70" s="33" t="s">
        <v>34</v>
      </c>
    </row>
    <row r="71" spans="1:34" s="69" customFormat="1" ht="21" x14ac:dyDescent="0.3">
      <c r="A71" s="233">
        <v>67</v>
      </c>
      <c r="B71" s="82" t="s">
        <v>26</v>
      </c>
      <c r="C71" s="82" t="s">
        <v>165</v>
      </c>
      <c r="D71" s="83" t="s">
        <v>83</v>
      </c>
      <c r="E71" s="83" t="s">
        <v>29</v>
      </c>
      <c r="F71" s="84" t="s">
        <v>30</v>
      </c>
      <c r="G71" s="85"/>
      <c r="H71" s="86">
        <f t="shared" si="4"/>
        <v>3210.1800000000003</v>
      </c>
      <c r="I71" s="87"/>
      <c r="J71" s="88">
        <v>2407.58</v>
      </c>
      <c r="K71" s="89">
        <f t="shared" si="7"/>
        <v>2407.58</v>
      </c>
      <c r="L71" s="90">
        <v>444.8</v>
      </c>
      <c r="M71" s="90"/>
      <c r="N71" s="88">
        <v>224</v>
      </c>
      <c r="O71" s="91">
        <f t="shared" si="5"/>
        <v>357.8</v>
      </c>
      <c r="P71" s="88">
        <v>224</v>
      </c>
      <c r="Q71" s="88">
        <v>133.80000000000001</v>
      </c>
      <c r="R71" s="88"/>
      <c r="S71" s="92">
        <f t="shared" si="6"/>
        <v>2852.38</v>
      </c>
      <c r="T71" s="93" t="s">
        <v>57</v>
      </c>
      <c r="U71" s="82" t="s">
        <v>166</v>
      </c>
      <c r="V71" s="83" t="s">
        <v>83</v>
      </c>
      <c r="W71" s="83" t="s">
        <v>29</v>
      </c>
      <c r="X71" s="82" t="s">
        <v>29</v>
      </c>
      <c r="Y71" s="94" t="e">
        <f>#REF!-H71</f>
        <v>#REF!</v>
      </c>
      <c r="Z71" s="95" t="e">
        <f>#REF!-J71</f>
        <v>#REF!</v>
      </c>
      <c r="AA71" s="96" t="e">
        <f>#REF!-L71</f>
        <v>#REF!</v>
      </c>
      <c r="AB71" s="95" t="e">
        <f>#REF!-N71</f>
        <v>#REF!</v>
      </c>
      <c r="AC71" s="94" t="e">
        <f>(#REF!+#REF!)-S71</f>
        <v>#REF!</v>
      </c>
      <c r="AD71" s="97" t="e">
        <f>AC71/(#REF!+#REF!)*100</f>
        <v>#REF!</v>
      </c>
      <c r="AE71" s="98"/>
      <c r="AF71" s="98"/>
      <c r="AG71" s="99"/>
      <c r="AH71" s="100" t="s">
        <v>167</v>
      </c>
    </row>
    <row r="72" spans="1:34" x14ac:dyDescent="0.3">
      <c r="A72" s="232">
        <v>68</v>
      </c>
      <c r="B72" s="34" t="s">
        <v>26</v>
      </c>
      <c r="C72" s="34" t="s">
        <v>165</v>
      </c>
      <c r="D72" s="35" t="s">
        <v>109</v>
      </c>
      <c r="E72" s="35" t="s">
        <v>29</v>
      </c>
      <c r="F72" s="36" t="s">
        <v>30</v>
      </c>
      <c r="G72" s="37" t="s">
        <v>31</v>
      </c>
      <c r="H72" s="38">
        <f t="shared" si="4"/>
        <v>44.306644674835056</v>
      </c>
      <c r="I72" s="39"/>
      <c r="J72" s="40">
        <v>41.3</v>
      </c>
      <c r="K72" s="41">
        <f t="shared" si="7"/>
        <v>41.3</v>
      </c>
      <c r="L72" s="42"/>
      <c r="M72" s="42"/>
      <c r="N72" s="40">
        <v>9.18</v>
      </c>
      <c r="O72" s="43">
        <f t="shared" si="5"/>
        <v>3.0066446748350613</v>
      </c>
      <c r="P72" s="41">
        <f>310*AE72</f>
        <v>2.6821866163996231</v>
      </c>
      <c r="Q72" s="41">
        <f>37.5*AE72</f>
        <v>0.32445805843543829</v>
      </c>
      <c r="R72" s="41"/>
      <c r="S72" s="109">
        <f t="shared" si="6"/>
        <v>41.3</v>
      </c>
      <c r="T72" s="35" t="s">
        <v>168</v>
      </c>
      <c r="U72" s="45" t="s">
        <v>166</v>
      </c>
      <c r="V72" s="46" t="s">
        <v>169</v>
      </c>
      <c r="W72" s="46" t="s">
        <v>170</v>
      </c>
      <c r="X72" s="45" t="s">
        <v>29</v>
      </c>
      <c r="Y72" s="72" t="e">
        <f>#REF!-H72</f>
        <v>#REF!</v>
      </c>
      <c r="Z72" s="73" t="e">
        <f>#REF!-J72</f>
        <v>#REF!</v>
      </c>
      <c r="AA72" s="74" t="e">
        <f>#REF!-L72</f>
        <v>#REF!</v>
      </c>
      <c r="AB72" s="73" t="e">
        <f>#REF!-N72</f>
        <v>#REF!</v>
      </c>
      <c r="AC72" s="72" t="e">
        <f>(#REF!+#REF!)-S72</f>
        <v>#REF!</v>
      </c>
      <c r="AD72" s="50" t="e">
        <f>AC72/(#REF!+#REF!)*100</f>
        <v>#REF!</v>
      </c>
      <c r="AE72" s="7">
        <f>N72/1061</f>
        <v>8.6522148916116873E-3</v>
      </c>
      <c r="AH72" s="33" t="s">
        <v>34</v>
      </c>
    </row>
    <row r="73" spans="1:34" x14ac:dyDescent="0.3">
      <c r="A73" s="230">
        <v>69</v>
      </c>
      <c r="B73" s="34" t="s">
        <v>26</v>
      </c>
      <c r="C73" s="34" t="s">
        <v>165</v>
      </c>
      <c r="D73" s="35" t="s">
        <v>109</v>
      </c>
      <c r="E73" s="35" t="s">
        <v>29</v>
      </c>
      <c r="F73" s="36" t="s">
        <v>30</v>
      </c>
      <c r="G73" s="37" t="s">
        <v>31</v>
      </c>
      <c r="H73" s="38">
        <f t="shared" si="4"/>
        <v>1035.2316163996231</v>
      </c>
      <c r="I73" s="39">
        <v>418.34</v>
      </c>
      <c r="J73" s="40">
        <v>566.83000000000004</v>
      </c>
      <c r="K73" s="41">
        <f t="shared" si="7"/>
        <v>985.17000000000007</v>
      </c>
      <c r="L73" s="42"/>
      <c r="M73" s="42"/>
      <c r="N73" s="40">
        <v>152.85</v>
      </c>
      <c r="O73" s="43">
        <f t="shared" si="5"/>
        <v>50.061616399622999</v>
      </c>
      <c r="P73" s="41">
        <f>310*AE73</f>
        <v>44.65928369462771</v>
      </c>
      <c r="Q73" s="41">
        <f>37.5*AE73</f>
        <v>5.4023327049952874</v>
      </c>
      <c r="R73" s="41"/>
      <c r="S73" s="109">
        <f t="shared" si="6"/>
        <v>985.17000000000007</v>
      </c>
      <c r="T73" s="35" t="s">
        <v>171</v>
      </c>
      <c r="U73" s="45" t="s">
        <v>166</v>
      </c>
      <c r="V73" s="46" t="s">
        <v>172</v>
      </c>
      <c r="W73" s="46" t="s">
        <v>173</v>
      </c>
      <c r="X73" s="45" t="s">
        <v>29</v>
      </c>
      <c r="Y73" s="72" t="e">
        <f>#REF!-H73</f>
        <v>#REF!</v>
      </c>
      <c r="Z73" s="73" t="e">
        <f>#REF!-J73</f>
        <v>#REF!</v>
      </c>
      <c r="AA73" s="74" t="e">
        <f>#REF!-L73</f>
        <v>#REF!</v>
      </c>
      <c r="AB73" s="73" t="e">
        <f>#REF!-N73</f>
        <v>#REF!</v>
      </c>
      <c r="AC73" s="72" t="e">
        <f>(#REF!+#REF!)-S73</f>
        <v>#REF!</v>
      </c>
      <c r="AD73" s="50" t="e">
        <f>AC73/(#REF!+#REF!)*100</f>
        <v>#REF!</v>
      </c>
      <c r="AE73" s="7">
        <f>N73/1061</f>
        <v>0.144062205466541</v>
      </c>
      <c r="AH73" s="33" t="s">
        <v>34</v>
      </c>
    </row>
    <row r="74" spans="1:34" x14ac:dyDescent="0.3">
      <c r="A74" s="230">
        <v>70</v>
      </c>
      <c r="B74" s="34" t="s">
        <v>26</v>
      </c>
      <c r="C74" s="34" t="s">
        <v>165</v>
      </c>
      <c r="D74" s="35" t="s">
        <v>109</v>
      </c>
      <c r="E74" s="35" t="s">
        <v>29</v>
      </c>
      <c r="F74" s="36" t="s">
        <v>30</v>
      </c>
      <c r="G74" s="37" t="s">
        <v>31</v>
      </c>
      <c r="H74" s="38">
        <f t="shared" si="4"/>
        <v>4742.0917389255419</v>
      </c>
      <c r="I74" s="39"/>
      <c r="J74" s="40">
        <v>4043.16</v>
      </c>
      <c r="K74" s="41">
        <f t="shared" si="7"/>
        <v>4043.16</v>
      </c>
      <c r="L74" s="42">
        <v>404.5</v>
      </c>
      <c r="M74" s="42">
        <f>116.9+183.8</f>
        <v>300.70000000000005</v>
      </c>
      <c r="N74" s="40">
        <v>898.97</v>
      </c>
      <c r="O74" s="43">
        <f t="shared" si="5"/>
        <v>294.43173892554199</v>
      </c>
      <c r="P74" s="41">
        <f>310*AE74</f>
        <v>262.65852968897269</v>
      </c>
      <c r="Q74" s="41">
        <f>37.5*AE74</f>
        <v>31.773209236569276</v>
      </c>
      <c r="R74" s="41"/>
      <c r="S74" s="109">
        <f t="shared" si="6"/>
        <v>4447.66</v>
      </c>
      <c r="T74" s="35" t="s">
        <v>174</v>
      </c>
      <c r="U74" s="45" t="s">
        <v>166</v>
      </c>
      <c r="V74" s="46" t="s">
        <v>109</v>
      </c>
      <c r="W74" s="46" t="s">
        <v>29</v>
      </c>
      <c r="X74" s="45" t="s">
        <v>29</v>
      </c>
      <c r="Y74" s="72" t="e">
        <f>#REF!-H74</f>
        <v>#REF!</v>
      </c>
      <c r="Z74" s="73" t="e">
        <f>#REF!-J74</f>
        <v>#REF!</v>
      </c>
      <c r="AA74" s="74" t="e">
        <f>#REF!-L74</f>
        <v>#REF!</v>
      </c>
      <c r="AB74" s="73" t="e">
        <f>#REF!-N74</f>
        <v>#REF!</v>
      </c>
      <c r="AC74" s="72" t="e">
        <f>(#REF!+#REF!)-S74</f>
        <v>#REF!</v>
      </c>
      <c r="AD74" s="50" t="e">
        <f>AC74/(#REF!+#REF!)*100</f>
        <v>#REF!</v>
      </c>
      <c r="AE74" s="7">
        <f>N74/1061</f>
        <v>0.84728557964184736</v>
      </c>
      <c r="AH74" s="33" t="s">
        <v>34</v>
      </c>
    </row>
    <row r="75" spans="1:34" s="69" customFormat="1" ht="21" x14ac:dyDescent="0.3">
      <c r="A75" s="234">
        <v>71</v>
      </c>
      <c r="B75" s="82" t="s">
        <v>26</v>
      </c>
      <c r="C75" s="82" t="s">
        <v>165</v>
      </c>
      <c r="D75" s="83" t="s">
        <v>115</v>
      </c>
      <c r="E75" s="83" t="s">
        <v>29</v>
      </c>
      <c r="F75" s="84" t="s">
        <v>30</v>
      </c>
      <c r="G75" s="85"/>
      <c r="H75" s="86">
        <f t="shared" si="4"/>
        <v>3278.6</v>
      </c>
      <c r="I75" s="87"/>
      <c r="J75" s="88">
        <v>2259.4</v>
      </c>
      <c r="K75" s="89">
        <f t="shared" si="7"/>
        <v>2259.4</v>
      </c>
      <c r="L75" s="90">
        <f>454.9+66.9</f>
        <v>521.79999999999995</v>
      </c>
      <c r="M75" s="90">
        <f>297.4+66.9</f>
        <v>364.29999999999995</v>
      </c>
      <c r="N75" s="88">
        <v>599.20000000000005</v>
      </c>
      <c r="O75" s="91">
        <f t="shared" si="5"/>
        <v>497.4</v>
      </c>
      <c r="P75" s="88">
        <v>351</v>
      </c>
      <c r="Q75" s="88">
        <f>17.3+1.2+66.9</f>
        <v>85.4</v>
      </c>
      <c r="R75" s="88">
        <v>61</v>
      </c>
      <c r="S75" s="92">
        <f t="shared" si="6"/>
        <v>2781.2</v>
      </c>
      <c r="T75" s="93" t="s">
        <v>57</v>
      </c>
      <c r="U75" s="82" t="s">
        <v>166</v>
      </c>
      <c r="V75" s="83" t="s">
        <v>115</v>
      </c>
      <c r="W75" s="83" t="s">
        <v>29</v>
      </c>
      <c r="X75" s="82" t="s">
        <v>29</v>
      </c>
      <c r="Y75" s="94" t="e">
        <f>#REF!-H75</f>
        <v>#REF!</v>
      </c>
      <c r="Z75" s="95" t="e">
        <f>#REF!-J75</f>
        <v>#REF!</v>
      </c>
      <c r="AA75" s="96" t="e">
        <f>#REF!-L75</f>
        <v>#REF!</v>
      </c>
      <c r="AB75" s="95" t="e">
        <f>#REF!-N75</f>
        <v>#REF!</v>
      </c>
      <c r="AC75" s="94" t="e">
        <f>(#REF!+#REF!)-S75</f>
        <v>#REF!</v>
      </c>
      <c r="AD75" s="97" t="e">
        <f>AC75/(#REF!+#REF!)*100</f>
        <v>#REF!</v>
      </c>
      <c r="AE75" s="98"/>
      <c r="AF75" s="98"/>
      <c r="AG75" s="99"/>
      <c r="AH75" s="100" t="s">
        <v>175</v>
      </c>
    </row>
    <row r="76" spans="1:34" s="69" customFormat="1" ht="21" x14ac:dyDescent="0.3">
      <c r="A76" s="233">
        <v>72</v>
      </c>
      <c r="B76" s="82" t="s">
        <v>26</v>
      </c>
      <c r="C76" s="82" t="s">
        <v>165</v>
      </c>
      <c r="D76" s="83" t="s">
        <v>118</v>
      </c>
      <c r="E76" s="83" t="s">
        <v>29</v>
      </c>
      <c r="F76" s="84" t="s">
        <v>30</v>
      </c>
      <c r="G76" s="85"/>
      <c r="H76" s="102">
        <f t="shared" si="4"/>
        <v>2860.05</v>
      </c>
      <c r="I76" s="87"/>
      <c r="J76" s="88">
        <v>2149.4499999999998</v>
      </c>
      <c r="K76" s="89">
        <f t="shared" si="7"/>
        <v>2149.4499999999998</v>
      </c>
      <c r="L76" s="103">
        <f>235+89.8</f>
        <v>324.8</v>
      </c>
      <c r="M76" s="103">
        <v>89.8</v>
      </c>
      <c r="N76" s="88">
        <v>476.73</v>
      </c>
      <c r="O76" s="91">
        <f t="shared" si="5"/>
        <v>385.8</v>
      </c>
      <c r="P76" s="88">
        <v>290</v>
      </c>
      <c r="Q76" s="88">
        <f>110.7-14.9</f>
        <v>95.8</v>
      </c>
      <c r="R76" s="88"/>
      <c r="S76" s="92">
        <f t="shared" si="6"/>
        <v>2474.25</v>
      </c>
      <c r="T76" s="93" t="s">
        <v>57</v>
      </c>
      <c r="U76" s="82" t="s">
        <v>166</v>
      </c>
      <c r="V76" s="83" t="s">
        <v>118</v>
      </c>
      <c r="W76" s="83" t="s">
        <v>29</v>
      </c>
      <c r="X76" s="82" t="s">
        <v>29</v>
      </c>
      <c r="Y76" s="94" t="e">
        <f>#REF!-H76</f>
        <v>#REF!</v>
      </c>
      <c r="Z76" s="95" t="e">
        <f>#REF!-J76</f>
        <v>#REF!</v>
      </c>
      <c r="AA76" s="96" t="e">
        <f>#REF!-L76</f>
        <v>#REF!</v>
      </c>
      <c r="AB76" s="95" t="e">
        <f>#REF!-N76</f>
        <v>#REF!</v>
      </c>
      <c r="AC76" s="94" t="e">
        <f>(#REF!+#REF!)-S76</f>
        <v>#REF!</v>
      </c>
      <c r="AD76" s="97" t="e">
        <f>AC76/(#REF!+#REF!)*100</f>
        <v>#REF!</v>
      </c>
      <c r="AE76" s="98"/>
      <c r="AF76" s="98"/>
      <c r="AG76" s="99"/>
      <c r="AH76" s="100" t="s">
        <v>95</v>
      </c>
    </row>
    <row r="77" spans="1:34" s="69" customFormat="1" x14ac:dyDescent="0.3">
      <c r="A77" s="75">
        <v>73</v>
      </c>
      <c r="B77" s="34" t="s">
        <v>26</v>
      </c>
      <c r="C77" s="34" t="s">
        <v>165</v>
      </c>
      <c r="D77" s="35" t="s">
        <v>124</v>
      </c>
      <c r="E77" s="35"/>
      <c r="F77" s="36" t="s">
        <v>30</v>
      </c>
      <c r="G77" s="37" t="s">
        <v>31</v>
      </c>
      <c r="H77" s="38">
        <f t="shared" si="4"/>
        <v>4190.2199999999993</v>
      </c>
      <c r="I77" s="39">
        <v>56.22</v>
      </c>
      <c r="J77" s="40">
        <v>3461.1</v>
      </c>
      <c r="K77" s="41">
        <f t="shared" si="7"/>
        <v>3517.3199999999997</v>
      </c>
      <c r="L77" s="42">
        <v>0</v>
      </c>
      <c r="M77" s="42"/>
      <c r="N77" s="40">
        <v>537</v>
      </c>
      <c r="O77" s="43">
        <f t="shared" si="5"/>
        <v>672.90000000000009</v>
      </c>
      <c r="P77" s="40">
        <v>537</v>
      </c>
      <c r="Q77" s="40">
        <v>37.200000000000003</v>
      </c>
      <c r="R77" s="40">
        <v>98.7</v>
      </c>
      <c r="S77" s="76">
        <f t="shared" si="6"/>
        <v>3517.3199999999997</v>
      </c>
      <c r="T77" s="35" t="s">
        <v>176</v>
      </c>
      <c r="U77" s="34" t="s">
        <v>166</v>
      </c>
      <c r="V77" s="35" t="s">
        <v>177</v>
      </c>
      <c r="W77" s="35" t="s">
        <v>29</v>
      </c>
      <c r="X77" s="34" t="s">
        <v>29</v>
      </c>
      <c r="Y77" s="77" t="e">
        <f>#REF!-H77</f>
        <v>#REF!</v>
      </c>
      <c r="Z77" s="78" t="e">
        <f>#REF!-J77</f>
        <v>#REF!</v>
      </c>
      <c r="AA77" s="79" t="e">
        <f>#REF!-L77</f>
        <v>#REF!</v>
      </c>
      <c r="AB77" s="78" t="e">
        <f>#REF!-N77</f>
        <v>#REF!</v>
      </c>
      <c r="AC77" s="77" t="e">
        <f>(#REF!+#REF!)-S77</f>
        <v>#REF!</v>
      </c>
      <c r="AD77" s="80" t="e">
        <f>AC77/(#REF!+#REF!)*100</f>
        <v>#REF!</v>
      </c>
      <c r="AG77" s="81"/>
      <c r="AH77" s="33" t="s">
        <v>34</v>
      </c>
    </row>
    <row r="78" spans="1:34" x14ac:dyDescent="0.3">
      <c r="A78" s="231">
        <v>74</v>
      </c>
      <c r="B78" s="51" t="s">
        <v>178</v>
      </c>
      <c r="C78" s="51" t="s">
        <v>179</v>
      </c>
      <c r="D78" s="52" t="s">
        <v>180</v>
      </c>
      <c r="E78" s="52" t="s">
        <v>29</v>
      </c>
      <c r="F78" s="53" t="s">
        <v>30</v>
      </c>
      <c r="G78" s="54" t="s">
        <v>31</v>
      </c>
      <c r="H78" s="55">
        <f t="shared" si="4"/>
        <v>4380.71</v>
      </c>
      <c r="I78" s="56">
        <v>56.34</v>
      </c>
      <c r="J78" s="57">
        <v>2755.27</v>
      </c>
      <c r="K78" s="58">
        <f t="shared" si="7"/>
        <v>2811.61</v>
      </c>
      <c r="L78" s="59">
        <v>643</v>
      </c>
      <c r="M78" s="59">
        <v>177</v>
      </c>
      <c r="N78" s="57">
        <v>252.1</v>
      </c>
      <c r="O78" s="60">
        <f t="shared" si="5"/>
        <v>926.1</v>
      </c>
      <c r="P78" s="57">
        <v>169.4</v>
      </c>
      <c r="Q78" s="57">
        <v>0</v>
      </c>
      <c r="R78" s="57">
        <v>756.7</v>
      </c>
      <c r="S78" s="61">
        <f t="shared" si="6"/>
        <v>3454.61</v>
      </c>
      <c r="T78" s="52" t="s">
        <v>181</v>
      </c>
      <c r="U78" s="51" t="s">
        <v>182</v>
      </c>
      <c r="V78" s="52" t="s">
        <v>180</v>
      </c>
      <c r="W78" s="52" t="s">
        <v>29</v>
      </c>
      <c r="X78" s="51" t="s">
        <v>29</v>
      </c>
      <c r="Y78" s="62" t="e">
        <f>#REF!-H78</f>
        <v>#REF!</v>
      </c>
      <c r="Z78" s="63" t="e">
        <f>#REF!-J78</f>
        <v>#REF!</v>
      </c>
      <c r="AA78" s="64" t="e">
        <f>#REF!-L78</f>
        <v>#REF!</v>
      </c>
      <c r="AB78" s="63" t="e">
        <f>#REF!-N78</f>
        <v>#REF!</v>
      </c>
      <c r="AC78" s="62" t="e">
        <f>(#REF!+#REF!)-S78</f>
        <v>#REF!</v>
      </c>
      <c r="AD78" s="65" t="e">
        <f>AC78/(#REF!+#REF!)*100</f>
        <v>#REF!</v>
      </c>
      <c r="AE78" s="66"/>
      <c r="AF78" s="66"/>
      <c r="AG78" s="67"/>
      <c r="AH78" s="68" t="s">
        <v>39</v>
      </c>
    </row>
    <row r="79" spans="1:34" s="69" customFormat="1" x14ac:dyDescent="0.3">
      <c r="A79" s="75">
        <v>75</v>
      </c>
      <c r="B79" s="34" t="s">
        <v>26</v>
      </c>
      <c r="C79" s="34" t="s">
        <v>183</v>
      </c>
      <c r="D79" s="35" t="s">
        <v>184</v>
      </c>
      <c r="E79" s="35" t="s">
        <v>29</v>
      </c>
      <c r="F79" s="36" t="s">
        <v>30</v>
      </c>
      <c r="G79" s="37" t="s">
        <v>31</v>
      </c>
      <c r="H79" s="38">
        <f t="shared" si="4"/>
        <v>3481.9</v>
      </c>
      <c r="I79" s="39"/>
      <c r="J79" s="40">
        <v>2693.3</v>
      </c>
      <c r="K79" s="41">
        <f t="shared" si="7"/>
        <v>2693.3</v>
      </c>
      <c r="L79" s="42">
        <v>419.1</v>
      </c>
      <c r="M79" s="42"/>
      <c r="N79" s="42">
        <v>282.7</v>
      </c>
      <c r="O79" s="43">
        <f t="shared" si="5"/>
        <v>369.5</v>
      </c>
      <c r="P79" s="42">
        <v>314</v>
      </c>
      <c r="Q79" s="42">
        <v>55.5</v>
      </c>
      <c r="R79" s="42"/>
      <c r="S79" s="76">
        <f t="shared" si="6"/>
        <v>3112.4</v>
      </c>
      <c r="T79" s="35" t="s">
        <v>185</v>
      </c>
      <c r="U79" s="34" t="s">
        <v>186</v>
      </c>
      <c r="V79" s="35" t="s">
        <v>184</v>
      </c>
      <c r="W79" s="35" t="s">
        <v>29</v>
      </c>
      <c r="X79" s="34" t="s">
        <v>29</v>
      </c>
      <c r="Y79" s="77" t="e">
        <f>#REF!-H79</f>
        <v>#REF!</v>
      </c>
      <c r="Z79" s="78" t="e">
        <f>#REF!-J79</f>
        <v>#REF!</v>
      </c>
      <c r="AA79" s="79" t="e">
        <f>#REF!-L79</f>
        <v>#REF!</v>
      </c>
      <c r="AB79" s="78" t="e">
        <f>#REF!-N79</f>
        <v>#REF!</v>
      </c>
      <c r="AC79" s="77" t="e">
        <f>(#REF!+#REF!)-S79</f>
        <v>#REF!</v>
      </c>
      <c r="AD79" s="80" t="e">
        <f>AC79/(#REF!+#REF!)*100</f>
        <v>#REF!</v>
      </c>
      <c r="AE79" s="69">
        <f>N79/364.3</f>
        <v>0.7760087839692561</v>
      </c>
      <c r="AG79" s="81"/>
      <c r="AH79" s="33" t="s">
        <v>34</v>
      </c>
    </row>
    <row r="80" spans="1:34" s="69" customFormat="1" x14ac:dyDescent="0.3">
      <c r="A80" s="75">
        <v>76</v>
      </c>
      <c r="B80" s="34" t="s">
        <v>26</v>
      </c>
      <c r="C80" s="34" t="s">
        <v>183</v>
      </c>
      <c r="D80" s="35" t="s">
        <v>77</v>
      </c>
      <c r="E80" s="35" t="s">
        <v>29</v>
      </c>
      <c r="F80" s="36" t="s">
        <v>30</v>
      </c>
      <c r="G80" s="37"/>
      <c r="H80" s="38">
        <f t="shared" si="4"/>
        <v>4640.68</v>
      </c>
      <c r="I80" s="39"/>
      <c r="J80" s="40">
        <v>4145.88</v>
      </c>
      <c r="K80" s="41">
        <f t="shared" si="7"/>
        <v>4145.88</v>
      </c>
      <c r="L80" s="42">
        <v>0</v>
      </c>
      <c r="M80" s="42"/>
      <c r="N80" s="40">
        <v>494.8</v>
      </c>
      <c r="O80" s="43">
        <f t="shared" si="5"/>
        <v>494.8</v>
      </c>
      <c r="P80" s="40">
        <v>454</v>
      </c>
      <c r="Q80" s="40">
        <v>40.799999999999997</v>
      </c>
      <c r="R80" s="40"/>
      <c r="S80" s="76">
        <f t="shared" si="6"/>
        <v>4145.88</v>
      </c>
      <c r="T80" s="35" t="s">
        <v>187</v>
      </c>
      <c r="U80" s="34" t="s">
        <v>186</v>
      </c>
      <c r="V80" s="35" t="s">
        <v>77</v>
      </c>
      <c r="W80" s="35" t="s">
        <v>29</v>
      </c>
      <c r="X80" s="34" t="s">
        <v>29</v>
      </c>
      <c r="Y80" s="77" t="e">
        <f>#REF!-H80</f>
        <v>#REF!</v>
      </c>
      <c r="Z80" s="78" t="e">
        <f>#REF!-J80</f>
        <v>#REF!</v>
      </c>
      <c r="AA80" s="79" t="e">
        <f>#REF!-L80</f>
        <v>#REF!</v>
      </c>
      <c r="AB80" s="78" t="e">
        <f>#REF!-N80</f>
        <v>#REF!</v>
      </c>
      <c r="AC80" s="77" t="e">
        <f>(#REF!+#REF!)-S80</f>
        <v>#REF!</v>
      </c>
      <c r="AD80" s="80" t="e">
        <f>AC80/(#REF!+#REF!)*100</f>
        <v>#REF!</v>
      </c>
      <c r="AG80" s="81"/>
      <c r="AH80" s="33" t="s">
        <v>34</v>
      </c>
    </row>
    <row r="81" spans="1:34" s="69" customFormat="1" x14ac:dyDescent="0.3">
      <c r="A81" s="101">
        <v>77</v>
      </c>
      <c r="B81" s="34" t="s">
        <v>26</v>
      </c>
      <c r="C81" s="34" t="s">
        <v>188</v>
      </c>
      <c r="D81" s="35" t="s">
        <v>189</v>
      </c>
      <c r="E81" s="35" t="s">
        <v>29</v>
      </c>
      <c r="F81" s="36" t="s">
        <v>30</v>
      </c>
      <c r="G81" s="37" t="s">
        <v>31</v>
      </c>
      <c r="H81" s="38">
        <f t="shared" si="4"/>
        <v>4310.1899999999996</v>
      </c>
      <c r="I81" s="39"/>
      <c r="J81" s="40">
        <v>2988.99</v>
      </c>
      <c r="K81" s="41">
        <f t="shared" si="7"/>
        <v>2988.99</v>
      </c>
      <c r="L81" s="42">
        <v>802.3</v>
      </c>
      <c r="M81" s="42"/>
      <c r="N81" s="40">
        <v>518.9</v>
      </c>
      <c r="O81" s="43">
        <f t="shared" si="5"/>
        <v>518.9</v>
      </c>
      <c r="P81" s="40">
        <v>494</v>
      </c>
      <c r="Q81" s="40">
        <v>24.9</v>
      </c>
      <c r="R81" s="40"/>
      <c r="S81" s="76">
        <f t="shared" si="6"/>
        <v>3791.29</v>
      </c>
      <c r="T81" s="35" t="s">
        <v>190</v>
      </c>
      <c r="U81" s="34" t="s">
        <v>191</v>
      </c>
      <c r="V81" s="35" t="s">
        <v>189</v>
      </c>
      <c r="W81" s="35" t="s">
        <v>29</v>
      </c>
      <c r="X81" s="34" t="s">
        <v>29</v>
      </c>
      <c r="Y81" s="77" t="e">
        <f>#REF!-H81</f>
        <v>#REF!</v>
      </c>
      <c r="Z81" s="78" t="e">
        <f>#REF!-J81</f>
        <v>#REF!</v>
      </c>
      <c r="AA81" s="79" t="e">
        <f>#REF!-L81</f>
        <v>#REF!</v>
      </c>
      <c r="AB81" s="78" t="e">
        <f>#REF!-N81</f>
        <v>#REF!</v>
      </c>
      <c r="AC81" s="77" t="e">
        <f>(#REF!+#REF!)-S81</f>
        <v>#REF!</v>
      </c>
      <c r="AD81" s="80" t="e">
        <f>AC81/(#REF!+#REF!)*100</f>
        <v>#REF!</v>
      </c>
      <c r="AG81" s="81"/>
      <c r="AH81" s="33" t="s">
        <v>34</v>
      </c>
    </row>
    <row r="82" spans="1:34" s="69" customFormat="1" ht="21" x14ac:dyDescent="0.3">
      <c r="A82" s="233">
        <v>78</v>
      </c>
      <c r="B82" s="82" t="s">
        <v>26</v>
      </c>
      <c r="C82" s="82" t="s">
        <v>188</v>
      </c>
      <c r="D82" s="83" t="s">
        <v>92</v>
      </c>
      <c r="E82" s="83" t="s">
        <v>29</v>
      </c>
      <c r="F82" s="84" t="s">
        <v>30</v>
      </c>
      <c r="G82" s="85"/>
      <c r="H82" s="86">
        <f t="shared" si="4"/>
        <v>2840.7499999999995</v>
      </c>
      <c r="I82" s="87">
        <v>0</v>
      </c>
      <c r="J82" s="88">
        <v>2414.4499999999998</v>
      </c>
      <c r="K82" s="89">
        <f t="shared" si="7"/>
        <v>2414.4499999999998</v>
      </c>
      <c r="L82" s="90">
        <v>190.2</v>
      </c>
      <c r="M82" s="90"/>
      <c r="N82" s="88">
        <v>240.7</v>
      </c>
      <c r="O82" s="91">
        <f t="shared" si="5"/>
        <v>236.1</v>
      </c>
      <c r="P82" s="88">
        <v>219</v>
      </c>
      <c r="Q82" s="88">
        <v>17.100000000000001</v>
      </c>
      <c r="R82" s="88"/>
      <c r="S82" s="92">
        <f t="shared" si="6"/>
        <v>2604.6499999999996</v>
      </c>
      <c r="T82" s="93" t="s">
        <v>57</v>
      </c>
      <c r="U82" s="82" t="s">
        <v>191</v>
      </c>
      <c r="V82" s="83" t="s">
        <v>94</v>
      </c>
      <c r="W82" s="83" t="s">
        <v>29</v>
      </c>
      <c r="X82" s="82" t="s">
        <v>29</v>
      </c>
      <c r="Y82" s="94" t="e">
        <f>#REF!-H82</f>
        <v>#REF!</v>
      </c>
      <c r="Z82" s="95" t="e">
        <f>#REF!-J82</f>
        <v>#REF!</v>
      </c>
      <c r="AA82" s="96" t="e">
        <f>#REF!-L82</f>
        <v>#REF!</v>
      </c>
      <c r="AB82" s="95" t="e">
        <f>#REF!-N82</f>
        <v>#REF!</v>
      </c>
      <c r="AC82" s="94" t="e">
        <f>(#REF!+#REF!)-S82</f>
        <v>#REF!</v>
      </c>
      <c r="AD82" s="97" t="e">
        <f>AC82/(#REF!+#REF!)*100</f>
        <v>#REF!</v>
      </c>
      <c r="AE82" s="98"/>
      <c r="AF82" s="98"/>
      <c r="AG82" s="99"/>
      <c r="AH82" s="100" t="s">
        <v>114</v>
      </c>
    </row>
    <row r="83" spans="1:34" s="69" customFormat="1" ht="21" x14ac:dyDescent="0.3">
      <c r="A83" s="233">
        <v>79</v>
      </c>
      <c r="B83" s="82" t="s">
        <v>26</v>
      </c>
      <c r="C83" s="82" t="s">
        <v>188</v>
      </c>
      <c r="D83" s="83" t="s">
        <v>94</v>
      </c>
      <c r="E83" s="83" t="s">
        <v>29</v>
      </c>
      <c r="F83" s="84" t="s">
        <v>30</v>
      </c>
      <c r="G83" s="85" t="s">
        <v>31</v>
      </c>
      <c r="H83" s="86">
        <f t="shared" si="4"/>
        <v>3529.9900000000002</v>
      </c>
      <c r="I83" s="87"/>
      <c r="J83" s="88">
        <v>2117.59</v>
      </c>
      <c r="K83" s="89">
        <f t="shared" si="7"/>
        <v>2117.59</v>
      </c>
      <c r="L83" s="90">
        <v>925.4</v>
      </c>
      <c r="M83" s="90"/>
      <c r="N83" s="88">
        <v>487</v>
      </c>
      <c r="O83" s="91">
        <f t="shared" si="5"/>
        <v>487</v>
      </c>
      <c r="P83" s="88">
        <v>312</v>
      </c>
      <c r="Q83" s="88">
        <v>175</v>
      </c>
      <c r="R83" s="88"/>
      <c r="S83" s="92">
        <f t="shared" si="6"/>
        <v>3042.9900000000002</v>
      </c>
      <c r="T83" s="93" t="s">
        <v>57</v>
      </c>
      <c r="U83" s="82" t="s">
        <v>191</v>
      </c>
      <c r="V83" s="83" t="s">
        <v>94</v>
      </c>
      <c r="W83" s="83" t="s">
        <v>29</v>
      </c>
      <c r="X83" s="82" t="s">
        <v>29</v>
      </c>
      <c r="Y83" s="94" t="e">
        <f>#REF!-H83</f>
        <v>#REF!</v>
      </c>
      <c r="Z83" s="95" t="e">
        <f>#REF!-J83</f>
        <v>#REF!</v>
      </c>
      <c r="AA83" s="96" t="e">
        <f>#REF!-L83</f>
        <v>#REF!</v>
      </c>
      <c r="AB83" s="95" t="e">
        <f>#REF!-N83</f>
        <v>#REF!</v>
      </c>
      <c r="AC83" s="94" t="e">
        <f>(#REF!+#REF!)-S83</f>
        <v>#REF!</v>
      </c>
      <c r="AD83" s="97" t="e">
        <f>AC83/(#REF!+#REF!)*100</f>
        <v>#REF!</v>
      </c>
      <c r="AE83" s="98"/>
      <c r="AF83" s="98"/>
      <c r="AG83" s="99"/>
      <c r="AH83" s="100" t="s">
        <v>95</v>
      </c>
    </row>
    <row r="84" spans="1:34" x14ac:dyDescent="0.3">
      <c r="A84" s="232">
        <v>80</v>
      </c>
      <c r="B84" s="34" t="s">
        <v>26</v>
      </c>
      <c r="C84" s="34" t="s">
        <v>188</v>
      </c>
      <c r="D84" s="35" t="s">
        <v>192</v>
      </c>
      <c r="E84" s="35" t="s">
        <v>29</v>
      </c>
      <c r="F84" s="36" t="s">
        <v>30</v>
      </c>
      <c r="G84" s="37"/>
      <c r="H84" s="38">
        <f t="shared" si="4"/>
        <v>10035.98</v>
      </c>
      <c r="I84" s="39"/>
      <c r="J84" s="40">
        <v>7289.38</v>
      </c>
      <c r="K84" s="41">
        <f t="shared" si="7"/>
        <v>7289.38</v>
      </c>
      <c r="L84" s="42">
        <v>817.2</v>
      </c>
      <c r="M84" s="42"/>
      <c r="N84" s="40">
        <v>813.93</v>
      </c>
      <c r="O84" s="43">
        <f t="shared" si="5"/>
        <v>1929.4</v>
      </c>
      <c r="P84" s="41">
        <v>1186.8</v>
      </c>
      <c r="Q84" s="41">
        <v>31.9</v>
      </c>
      <c r="R84" s="40">
        <v>710.7</v>
      </c>
      <c r="S84" s="44">
        <f t="shared" si="6"/>
        <v>8106.58</v>
      </c>
      <c r="T84" s="35" t="s">
        <v>193</v>
      </c>
      <c r="U84" s="45" t="s">
        <v>191</v>
      </c>
      <c r="V84" s="46" t="s">
        <v>192</v>
      </c>
      <c r="W84" s="46" t="s">
        <v>29</v>
      </c>
      <c r="X84" s="45" t="s">
        <v>29</v>
      </c>
      <c r="Y84" s="72" t="e">
        <f>#REF!-H84</f>
        <v>#REF!</v>
      </c>
      <c r="Z84" s="73" t="e">
        <f>#REF!-J84</f>
        <v>#REF!</v>
      </c>
      <c r="AA84" s="74" t="e">
        <f>#REF!-L84</f>
        <v>#REF!</v>
      </c>
      <c r="AB84" s="73" t="e">
        <f>#REF!-N84</f>
        <v>#REF!</v>
      </c>
      <c r="AC84" s="72" t="e">
        <f>(#REF!+#REF!)-S84</f>
        <v>#REF!</v>
      </c>
      <c r="AD84" s="50" t="e">
        <f>AC84/(#REF!+#REF!)*100</f>
        <v>#REF!</v>
      </c>
      <c r="AE84" s="7">
        <f>N84/1485</f>
        <v>0.54810101010101009</v>
      </c>
      <c r="AF84" s="7">
        <v>1485</v>
      </c>
      <c r="AH84" s="33" t="s">
        <v>34</v>
      </c>
    </row>
    <row r="85" spans="1:34" x14ac:dyDescent="0.3">
      <c r="A85" s="230">
        <v>81</v>
      </c>
      <c r="B85" s="34" t="s">
        <v>26</v>
      </c>
      <c r="C85" s="34" t="s">
        <v>188</v>
      </c>
      <c r="D85" s="35" t="s">
        <v>85</v>
      </c>
      <c r="E85" s="35" t="s">
        <v>29</v>
      </c>
      <c r="F85" s="36" t="s">
        <v>30</v>
      </c>
      <c r="G85" s="37" t="s">
        <v>31</v>
      </c>
      <c r="H85" s="38">
        <f t="shared" si="4"/>
        <v>1953.27</v>
      </c>
      <c r="I85" s="39"/>
      <c r="J85" s="40">
        <v>1521.57</v>
      </c>
      <c r="K85" s="41">
        <f t="shared" si="7"/>
        <v>1521.57</v>
      </c>
      <c r="L85" s="42">
        <v>139</v>
      </c>
      <c r="M85" s="42"/>
      <c r="N85" s="40">
        <v>292.7</v>
      </c>
      <c r="O85" s="43">
        <f t="shared" si="5"/>
        <v>292.7</v>
      </c>
      <c r="P85" s="40">
        <v>266</v>
      </c>
      <c r="Q85" s="40">
        <f>139-112.3</f>
        <v>26.700000000000003</v>
      </c>
      <c r="R85" s="40"/>
      <c r="S85" s="44">
        <f t="shared" si="6"/>
        <v>1660.57</v>
      </c>
      <c r="T85" s="35" t="s">
        <v>194</v>
      </c>
      <c r="U85" s="70" t="s">
        <v>191</v>
      </c>
      <c r="V85" s="71" t="s">
        <v>85</v>
      </c>
      <c r="W85" s="71" t="s">
        <v>29</v>
      </c>
      <c r="X85" s="70" t="s">
        <v>29</v>
      </c>
      <c r="Y85" s="72" t="e">
        <f>#REF!-H85</f>
        <v>#REF!</v>
      </c>
      <c r="Z85" s="73" t="e">
        <f>#REF!-J85</f>
        <v>#REF!</v>
      </c>
      <c r="AA85" s="74" t="e">
        <f>#REF!-L85</f>
        <v>#REF!</v>
      </c>
      <c r="AB85" s="73" t="e">
        <f>#REF!-N85</f>
        <v>#REF!</v>
      </c>
      <c r="AC85" s="72" t="e">
        <f>(#REF!+#REF!)-S85</f>
        <v>#REF!</v>
      </c>
      <c r="AD85" s="50" t="e">
        <f>AC85/(#REF!+#REF!)*100</f>
        <v>#REF!</v>
      </c>
      <c r="AH85" s="33" t="s">
        <v>34</v>
      </c>
    </row>
    <row r="86" spans="1:34" s="69" customFormat="1" x14ac:dyDescent="0.3">
      <c r="A86" s="75">
        <v>82</v>
      </c>
      <c r="B86" s="34" t="s">
        <v>26</v>
      </c>
      <c r="C86" s="34" t="s">
        <v>188</v>
      </c>
      <c r="D86" s="35" t="s">
        <v>195</v>
      </c>
      <c r="E86" s="35" t="s">
        <v>29</v>
      </c>
      <c r="F86" s="36" t="s">
        <v>30</v>
      </c>
      <c r="G86" s="37"/>
      <c r="H86" s="38">
        <f t="shared" si="4"/>
        <v>3261.7200000000003</v>
      </c>
      <c r="I86" s="39"/>
      <c r="J86" s="40">
        <v>2904.42</v>
      </c>
      <c r="K86" s="41">
        <f t="shared" si="7"/>
        <v>2904.42</v>
      </c>
      <c r="L86" s="42">
        <v>0</v>
      </c>
      <c r="M86" s="42"/>
      <c r="N86" s="40">
        <v>357.3</v>
      </c>
      <c r="O86" s="43">
        <f t="shared" si="5"/>
        <v>357.3</v>
      </c>
      <c r="P86" s="40">
        <v>349</v>
      </c>
      <c r="Q86" s="40">
        <v>8.3000000000000007</v>
      </c>
      <c r="R86" s="40"/>
      <c r="S86" s="76">
        <f t="shared" si="6"/>
        <v>2904.42</v>
      </c>
      <c r="T86" s="35" t="s">
        <v>196</v>
      </c>
      <c r="U86" s="34" t="s">
        <v>191</v>
      </c>
      <c r="V86" s="35" t="s">
        <v>195</v>
      </c>
      <c r="W86" s="35" t="s">
        <v>29</v>
      </c>
      <c r="X86" s="34" t="s">
        <v>29</v>
      </c>
      <c r="Y86" s="77" t="e">
        <f>#REF!-H86</f>
        <v>#REF!</v>
      </c>
      <c r="Z86" s="78" t="e">
        <f>#REF!-J86</f>
        <v>#REF!</v>
      </c>
      <c r="AA86" s="79" t="e">
        <f>#REF!-L86</f>
        <v>#REF!</v>
      </c>
      <c r="AB86" s="78" t="e">
        <f>#REF!-N86</f>
        <v>#REF!</v>
      </c>
      <c r="AC86" s="77" t="e">
        <f>(#REF!+#REF!)-S86</f>
        <v>#REF!</v>
      </c>
      <c r="AD86" s="80" t="e">
        <f>AC86/(#REF!+#REF!)*100</f>
        <v>#REF!</v>
      </c>
      <c r="AG86" s="81"/>
      <c r="AH86" s="33" t="s">
        <v>34</v>
      </c>
    </row>
    <row r="87" spans="1:34" s="69" customFormat="1" x14ac:dyDescent="0.3">
      <c r="A87" s="101">
        <v>83</v>
      </c>
      <c r="B87" s="34" t="s">
        <v>26</v>
      </c>
      <c r="C87" s="34" t="s">
        <v>188</v>
      </c>
      <c r="D87" s="35" t="s">
        <v>109</v>
      </c>
      <c r="E87" s="35" t="s">
        <v>29</v>
      </c>
      <c r="F87" s="36" t="s">
        <v>30</v>
      </c>
      <c r="G87" s="37" t="s">
        <v>31</v>
      </c>
      <c r="H87" s="38">
        <f t="shared" si="4"/>
        <v>3006.9100000000003</v>
      </c>
      <c r="I87" s="39"/>
      <c r="J87" s="40">
        <v>2563.5100000000002</v>
      </c>
      <c r="K87" s="41">
        <f t="shared" si="7"/>
        <v>2563.5100000000002</v>
      </c>
      <c r="L87" s="42">
        <v>0</v>
      </c>
      <c r="M87" s="42"/>
      <c r="N87" s="40">
        <v>366.1</v>
      </c>
      <c r="O87" s="43">
        <f t="shared" si="5"/>
        <v>443.4</v>
      </c>
      <c r="P87" s="40">
        <v>323</v>
      </c>
      <c r="Q87" s="40">
        <v>120.4</v>
      </c>
      <c r="R87" s="40"/>
      <c r="S87" s="76">
        <f t="shared" si="6"/>
        <v>2563.5100000000002</v>
      </c>
      <c r="T87" s="35" t="s">
        <v>197</v>
      </c>
      <c r="U87" s="34" t="s">
        <v>191</v>
      </c>
      <c r="V87" s="35" t="s">
        <v>109</v>
      </c>
      <c r="W87" s="35" t="s">
        <v>29</v>
      </c>
      <c r="X87" s="34" t="s">
        <v>29</v>
      </c>
      <c r="Y87" s="77" t="e">
        <f>#REF!-H87</f>
        <v>#REF!</v>
      </c>
      <c r="Z87" s="78" t="e">
        <f>#REF!-J87</f>
        <v>#REF!</v>
      </c>
      <c r="AA87" s="79" t="e">
        <f>#REF!-L87</f>
        <v>#REF!</v>
      </c>
      <c r="AB87" s="78" t="e">
        <f>#REF!-N87</f>
        <v>#REF!</v>
      </c>
      <c r="AC87" s="77" t="e">
        <f>(#REF!+#REF!)-S87</f>
        <v>#REF!</v>
      </c>
      <c r="AD87" s="80" t="e">
        <f>AC87/(#REF!+#REF!)*100</f>
        <v>#REF!</v>
      </c>
      <c r="AG87" s="81"/>
      <c r="AH87" s="33" t="s">
        <v>34</v>
      </c>
    </row>
    <row r="88" spans="1:34" x14ac:dyDescent="0.3">
      <c r="A88" s="230">
        <v>84</v>
      </c>
      <c r="B88" s="34" t="s">
        <v>26</v>
      </c>
      <c r="C88" s="34" t="s">
        <v>188</v>
      </c>
      <c r="D88" s="35" t="s">
        <v>198</v>
      </c>
      <c r="E88" s="35" t="s">
        <v>29</v>
      </c>
      <c r="F88" s="36" t="s">
        <v>30</v>
      </c>
      <c r="G88" s="37"/>
      <c r="H88" s="38">
        <f t="shared" si="4"/>
        <v>12631.050000000001</v>
      </c>
      <c r="I88" s="39"/>
      <c r="J88" s="40">
        <v>11019.85</v>
      </c>
      <c r="K88" s="41">
        <f t="shared" si="7"/>
        <v>11019.85</v>
      </c>
      <c r="L88" s="42">
        <v>18.5</v>
      </c>
      <c r="M88" s="42"/>
      <c r="N88" s="40">
        <v>1568</v>
      </c>
      <c r="O88" s="43">
        <f t="shared" si="5"/>
        <v>1592.7</v>
      </c>
      <c r="P88" s="40">
        <v>1419</v>
      </c>
      <c r="Q88" s="40">
        <f>149+24.7</f>
        <v>173.7</v>
      </c>
      <c r="R88" s="40"/>
      <c r="S88" s="44">
        <f t="shared" si="6"/>
        <v>11038.35</v>
      </c>
      <c r="T88" s="35" t="s">
        <v>199</v>
      </c>
      <c r="U88" s="70" t="s">
        <v>191</v>
      </c>
      <c r="V88" s="71" t="s">
        <v>198</v>
      </c>
      <c r="W88" s="71" t="s">
        <v>29</v>
      </c>
      <c r="X88" s="70" t="s">
        <v>29</v>
      </c>
      <c r="Y88" s="72" t="e">
        <f>#REF!-H88</f>
        <v>#REF!</v>
      </c>
      <c r="Z88" s="73" t="e">
        <f>#REF!-J88</f>
        <v>#REF!</v>
      </c>
      <c r="AA88" s="74" t="e">
        <f>#REF!-L88</f>
        <v>#REF!</v>
      </c>
      <c r="AB88" s="73" t="e">
        <f>#REF!-N88</f>
        <v>#REF!</v>
      </c>
      <c r="AC88" s="72" t="e">
        <f>(#REF!+#REF!)-S88</f>
        <v>#REF!</v>
      </c>
      <c r="AD88" s="50" t="e">
        <f>AC88/(#REF!+#REF!)*100</f>
        <v>#REF!</v>
      </c>
      <c r="AH88" s="33" t="s">
        <v>34</v>
      </c>
    </row>
    <row r="89" spans="1:34" x14ac:dyDescent="0.3">
      <c r="A89" s="230">
        <v>85</v>
      </c>
      <c r="B89" s="34" t="s">
        <v>26</v>
      </c>
      <c r="C89" s="34" t="s">
        <v>188</v>
      </c>
      <c r="D89" s="35" t="s">
        <v>200</v>
      </c>
      <c r="E89" s="35" t="s">
        <v>29</v>
      </c>
      <c r="F89" s="36" t="s">
        <v>56</v>
      </c>
      <c r="G89" s="37" t="s">
        <v>31</v>
      </c>
      <c r="H89" s="38">
        <f t="shared" si="4"/>
        <v>803.14</v>
      </c>
      <c r="I89" s="39"/>
      <c r="J89" s="40">
        <f>622.64-36.2+36.2</f>
        <v>622.64</v>
      </c>
      <c r="K89" s="41">
        <f t="shared" si="7"/>
        <v>622.64</v>
      </c>
      <c r="L89" s="42">
        <v>85.5</v>
      </c>
      <c r="M89" s="42"/>
      <c r="N89" s="40">
        <v>95</v>
      </c>
      <c r="O89" s="43">
        <f t="shared" si="5"/>
        <v>95</v>
      </c>
      <c r="P89" s="40">
        <v>95</v>
      </c>
      <c r="Q89" s="40"/>
      <c r="R89" s="40"/>
      <c r="S89" s="44">
        <f t="shared" si="6"/>
        <v>708.14</v>
      </c>
      <c r="T89" s="35" t="s">
        <v>201</v>
      </c>
      <c r="U89" s="70" t="s">
        <v>191</v>
      </c>
      <c r="V89" s="71" t="s">
        <v>200</v>
      </c>
      <c r="W89" s="71" t="s">
        <v>29</v>
      </c>
      <c r="X89" s="70" t="s">
        <v>29</v>
      </c>
      <c r="Y89" s="72" t="e">
        <f>#REF!-H89</f>
        <v>#REF!</v>
      </c>
      <c r="Z89" s="73" t="e">
        <f>#REF!-J89</f>
        <v>#REF!</v>
      </c>
      <c r="AA89" s="74" t="e">
        <f>#REF!-L89</f>
        <v>#REF!</v>
      </c>
      <c r="AB89" s="73" t="e">
        <f>#REF!-N89</f>
        <v>#REF!</v>
      </c>
      <c r="AC89" s="72" t="e">
        <f>(#REF!+#REF!)-S89</f>
        <v>#REF!</v>
      </c>
      <c r="AD89" s="50" t="e">
        <f>AC89/(#REF!+#REF!)*100</f>
        <v>#REF!</v>
      </c>
      <c r="AH89" s="33" t="s">
        <v>34</v>
      </c>
    </row>
    <row r="90" spans="1:34" x14ac:dyDescent="0.3">
      <c r="A90" s="232">
        <v>86</v>
      </c>
      <c r="B90" s="34" t="s">
        <v>26</v>
      </c>
      <c r="C90" s="34" t="s">
        <v>188</v>
      </c>
      <c r="D90" s="35" t="s">
        <v>202</v>
      </c>
      <c r="E90" s="35" t="s">
        <v>203</v>
      </c>
      <c r="F90" s="36" t="s">
        <v>30</v>
      </c>
      <c r="G90" s="37"/>
      <c r="H90" s="38">
        <f t="shared" si="4"/>
        <v>6473.37</v>
      </c>
      <c r="I90" s="39"/>
      <c r="J90" s="40">
        <v>4711.17</v>
      </c>
      <c r="K90" s="41">
        <f t="shared" si="7"/>
        <v>4711.17</v>
      </c>
      <c r="L90" s="42">
        <f>190.1+316.8+58.6+66.4</f>
        <v>631.9</v>
      </c>
      <c r="M90" s="42">
        <f>58.6+66.4</f>
        <v>125</v>
      </c>
      <c r="N90" s="40">
        <v>1255.3</v>
      </c>
      <c r="O90" s="43">
        <f t="shared" si="5"/>
        <v>1130.3</v>
      </c>
      <c r="P90" s="40">
        <v>564</v>
      </c>
      <c r="Q90" s="40">
        <v>10.4</v>
      </c>
      <c r="R90" s="40">
        <v>555.9</v>
      </c>
      <c r="S90" s="44">
        <f t="shared" si="6"/>
        <v>5343.07</v>
      </c>
      <c r="T90" s="35" t="s">
        <v>204</v>
      </c>
      <c r="U90" s="70" t="s">
        <v>191</v>
      </c>
      <c r="V90" s="71" t="s">
        <v>202</v>
      </c>
      <c r="W90" s="71" t="s">
        <v>29</v>
      </c>
      <c r="X90" s="70" t="s">
        <v>29</v>
      </c>
      <c r="Y90" s="72" t="e">
        <f>#REF!-H90</f>
        <v>#REF!</v>
      </c>
      <c r="Z90" s="73" t="e">
        <f>#REF!-J90</f>
        <v>#REF!</v>
      </c>
      <c r="AA90" s="74" t="e">
        <f>#REF!-L90</f>
        <v>#REF!</v>
      </c>
      <c r="AB90" s="73" t="e">
        <f>#REF!-N90</f>
        <v>#REF!</v>
      </c>
      <c r="AC90" s="72" t="e">
        <f>(#REF!+#REF!)-S90</f>
        <v>#REF!</v>
      </c>
      <c r="AD90" s="50" t="e">
        <f>AC90/(#REF!+#REF!)*100</f>
        <v>#REF!</v>
      </c>
      <c r="AH90" s="33" t="s">
        <v>34</v>
      </c>
    </row>
    <row r="91" spans="1:34" x14ac:dyDescent="0.3">
      <c r="A91" s="230">
        <v>87</v>
      </c>
      <c r="B91" s="34" t="s">
        <v>26</v>
      </c>
      <c r="C91" s="34" t="s">
        <v>188</v>
      </c>
      <c r="D91" s="35" t="s">
        <v>205</v>
      </c>
      <c r="E91" s="35" t="s">
        <v>29</v>
      </c>
      <c r="F91" s="36" t="s">
        <v>30</v>
      </c>
      <c r="G91" s="37" t="s">
        <v>31</v>
      </c>
      <c r="H91" s="38">
        <f t="shared" si="4"/>
        <v>883.31561214495594</v>
      </c>
      <c r="I91" s="39"/>
      <c r="J91" s="40">
        <v>270.98</v>
      </c>
      <c r="K91" s="41">
        <f t="shared" si="7"/>
        <v>270.98</v>
      </c>
      <c r="L91" s="42">
        <v>576.9</v>
      </c>
      <c r="M91" s="42"/>
      <c r="N91" s="40">
        <v>47.48</v>
      </c>
      <c r="O91" s="43">
        <f t="shared" si="5"/>
        <v>35.435612144955925</v>
      </c>
      <c r="P91" s="41">
        <f>245*AE91</f>
        <v>28.483349657198826</v>
      </c>
      <c r="Q91" s="41">
        <f>59.8*AE91</f>
        <v>6.9522624877571007</v>
      </c>
      <c r="R91" s="40"/>
      <c r="S91" s="44">
        <f t="shared" si="6"/>
        <v>847.88</v>
      </c>
      <c r="T91" s="35" t="s">
        <v>206</v>
      </c>
      <c r="U91" s="45" t="s">
        <v>191</v>
      </c>
      <c r="V91" s="46" t="s">
        <v>207</v>
      </c>
      <c r="W91" s="46" t="s">
        <v>170</v>
      </c>
      <c r="X91" s="45" t="s">
        <v>29</v>
      </c>
      <c r="Y91" s="72" t="e">
        <f>#REF!-H91</f>
        <v>#REF!</v>
      </c>
      <c r="Z91" s="73" t="e">
        <f>#REF!-J91</f>
        <v>#REF!</v>
      </c>
      <c r="AA91" s="74" t="e">
        <f>#REF!-L91</f>
        <v>#REF!</v>
      </c>
      <c r="AB91" s="73" t="e">
        <f>#REF!-N91</f>
        <v>#REF!</v>
      </c>
      <c r="AC91" s="72" t="e">
        <f>(#REF!+#REF!)-S91</f>
        <v>#REF!</v>
      </c>
      <c r="AD91" s="50" t="e">
        <f>AC91/(#REF!+#REF!)*100</f>
        <v>#REF!</v>
      </c>
      <c r="AE91" s="7">
        <f>N91/408.4</f>
        <v>0.11625857002938296</v>
      </c>
      <c r="AF91" s="7">
        <v>408.4</v>
      </c>
      <c r="AH91" s="33" t="s">
        <v>34</v>
      </c>
    </row>
    <row r="92" spans="1:34" x14ac:dyDescent="0.3">
      <c r="A92" s="230">
        <v>88</v>
      </c>
      <c r="B92" s="34" t="s">
        <v>26</v>
      </c>
      <c r="C92" s="34" t="s">
        <v>188</v>
      </c>
      <c r="D92" s="35" t="s">
        <v>205</v>
      </c>
      <c r="E92" s="35" t="s">
        <v>29</v>
      </c>
      <c r="F92" s="36" t="s">
        <v>30</v>
      </c>
      <c r="G92" s="37" t="s">
        <v>31</v>
      </c>
      <c r="H92" s="38">
        <f t="shared" si="4"/>
        <v>2345.2343878550441</v>
      </c>
      <c r="I92" s="39"/>
      <c r="J92" s="40">
        <v>2059.9699999999998</v>
      </c>
      <c r="K92" s="41">
        <f t="shared" si="7"/>
        <v>2059.9699999999998</v>
      </c>
      <c r="L92" s="42">
        <v>15.9</v>
      </c>
      <c r="M92" s="42"/>
      <c r="N92" s="40">
        <v>360.92</v>
      </c>
      <c r="O92" s="43">
        <f t="shared" si="5"/>
        <v>269.36438785504413</v>
      </c>
      <c r="P92" s="41">
        <f>245*AE92</f>
        <v>216.5166503428012</v>
      </c>
      <c r="Q92" s="41">
        <f>59.8*AE92</f>
        <v>52.847737512242901</v>
      </c>
      <c r="R92" s="40"/>
      <c r="S92" s="44">
        <f t="shared" si="6"/>
        <v>2075.87</v>
      </c>
      <c r="T92" s="35" t="s">
        <v>208</v>
      </c>
      <c r="U92" s="45" t="s">
        <v>191</v>
      </c>
      <c r="V92" s="46" t="s">
        <v>205</v>
      </c>
      <c r="W92" s="46" t="s">
        <v>29</v>
      </c>
      <c r="X92" s="45" t="s">
        <v>29</v>
      </c>
      <c r="Y92" s="72" t="e">
        <f>#REF!-H92</f>
        <v>#REF!</v>
      </c>
      <c r="Z92" s="73" t="e">
        <f>#REF!-J92</f>
        <v>#REF!</v>
      </c>
      <c r="AA92" s="74" t="e">
        <f>#REF!-L92</f>
        <v>#REF!</v>
      </c>
      <c r="AB92" s="73" t="e">
        <f>#REF!-N92</f>
        <v>#REF!</v>
      </c>
      <c r="AC92" s="72" t="e">
        <f>(#REF!+#REF!)-S92</f>
        <v>#REF!</v>
      </c>
      <c r="AD92" s="50" t="e">
        <f>AC92/(#REF!+#REF!)*100</f>
        <v>#REF!</v>
      </c>
      <c r="AE92" s="7">
        <f>N92/408.4</f>
        <v>0.88374142997061711</v>
      </c>
      <c r="AH92" s="33" t="s">
        <v>34</v>
      </c>
    </row>
    <row r="93" spans="1:34" x14ac:dyDescent="0.3">
      <c r="A93" s="230">
        <v>90</v>
      </c>
      <c r="B93" s="51" t="s">
        <v>209</v>
      </c>
      <c r="C93" s="51" t="s">
        <v>210</v>
      </c>
      <c r="D93" s="52" t="s">
        <v>211</v>
      </c>
      <c r="E93" s="52" t="s">
        <v>29</v>
      </c>
      <c r="F93" s="53" t="s">
        <v>30</v>
      </c>
      <c r="G93" s="54"/>
      <c r="H93" s="55">
        <f t="shared" si="4"/>
        <v>18501.949999999997</v>
      </c>
      <c r="I93" s="56">
        <v>0</v>
      </c>
      <c r="J93" s="57">
        <v>14742.65</v>
      </c>
      <c r="K93" s="58">
        <f t="shared" si="7"/>
        <v>14742.65</v>
      </c>
      <c r="L93" s="59">
        <f>2153.1-6.9</f>
        <v>2146.1999999999998</v>
      </c>
      <c r="M93" s="59">
        <f>166.7-6.9</f>
        <v>159.79999999999998</v>
      </c>
      <c r="N93" s="57">
        <v>350.98</v>
      </c>
      <c r="O93" s="60">
        <f t="shared" si="5"/>
        <v>1613.1</v>
      </c>
      <c r="P93" s="58">
        <v>1549.1</v>
      </c>
      <c r="Q93" s="58">
        <f>57.1+6.9</f>
        <v>64</v>
      </c>
      <c r="R93" s="57"/>
      <c r="S93" s="61">
        <f t="shared" si="6"/>
        <v>16888.849999999999</v>
      </c>
      <c r="T93" s="52" t="s">
        <v>212</v>
      </c>
      <c r="U93" s="51" t="s">
        <v>213</v>
      </c>
      <c r="V93" s="52" t="s">
        <v>211</v>
      </c>
      <c r="W93" s="52" t="s">
        <v>29</v>
      </c>
      <c r="X93" s="51" t="s">
        <v>29</v>
      </c>
      <c r="Y93" s="62" t="e">
        <f>#REF!-H93</f>
        <v>#REF!</v>
      </c>
      <c r="Z93" s="63" t="e">
        <f>#REF!-J93</f>
        <v>#REF!</v>
      </c>
      <c r="AA93" s="64" t="e">
        <f>#REF!-L93</f>
        <v>#REF!</v>
      </c>
      <c r="AB93" s="63" t="e">
        <f>#REF!-N93</f>
        <v>#REF!</v>
      </c>
      <c r="AC93" s="62" t="e">
        <f>(#REF!+#REF!)-S93</f>
        <v>#REF!</v>
      </c>
      <c r="AD93" s="65" t="e">
        <f>AC93/(#REF!+#REF!)*100</f>
        <v>#REF!</v>
      </c>
      <c r="AE93" s="66">
        <f>N93/2002.7</f>
        <v>0.17525340789933591</v>
      </c>
      <c r="AF93" s="66"/>
      <c r="AG93" s="67"/>
      <c r="AH93" s="68" t="s">
        <v>39</v>
      </c>
    </row>
    <row r="94" spans="1:34" x14ac:dyDescent="0.3">
      <c r="A94" s="230">
        <v>91</v>
      </c>
      <c r="B94" s="34" t="s">
        <v>26</v>
      </c>
      <c r="C94" s="34" t="s">
        <v>214</v>
      </c>
      <c r="D94" s="35" t="s">
        <v>215</v>
      </c>
      <c r="E94" s="35" t="s">
        <v>31</v>
      </c>
      <c r="F94" s="36" t="s">
        <v>30</v>
      </c>
      <c r="G94" s="37"/>
      <c r="H94" s="38">
        <f t="shared" si="4"/>
        <v>3959.87</v>
      </c>
      <c r="I94" s="39"/>
      <c r="J94" s="40">
        <v>2761.87</v>
      </c>
      <c r="K94" s="41">
        <f t="shared" si="7"/>
        <v>2761.87</v>
      </c>
      <c r="L94" s="42">
        <v>803</v>
      </c>
      <c r="M94" s="42"/>
      <c r="N94" s="40">
        <v>395</v>
      </c>
      <c r="O94" s="43">
        <f t="shared" si="5"/>
        <v>395</v>
      </c>
      <c r="P94" s="40">
        <v>366</v>
      </c>
      <c r="Q94" s="40">
        <v>29</v>
      </c>
      <c r="R94" s="40"/>
      <c r="S94" s="44">
        <f t="shared" si="6"/>
        <v>3564.87</v>
      </c>
      <c r="T94" s="35" t="s">
        <v>216</v>
      </c>
      <c r="U94" s="70" t="s">
        <v>217</v>
      </c>
      <c r="V94" s="71" t="s">
        <v>215</v>
      </c>
      <c r="W94" s="71" t="s">
        <v>31</v>
      </c>
      <c r="X94" s="70" t="s">
        <v>29</v>
      </c>
      <c r="Y94" s="72" t="e">
        <f>#REF!-H94</f>
        <v>#REF!</v>
      </c>
      <c r="Z94" s="73" t="e">
        <f>#REF!-J94</f>
        <v>#REF!</v>
      </c>
      <c r="AA94" s="74" t="e">
        <f>#REF!-L94</f>
        <v>#REF!</v>
      </c>
      <c r="AB94" s="73" t="e">
        <f>#REF!-N94</f>
        <v>#REF!</v>
      </c>
      <c r="AC94" s="72" t="e">
        <f>(#REF!+#REF!)-S94</f>
        <v>#REF!</v>
      </c>
      <c r="AD94" s="50" t="e">
        <f>AC94/(#REF!+#REF!)*100</f>
        <v>#REF!</v>
      </c>
      <c r="AH94" s="33" t="s">
        <v>34</v>
      </c>
    </row>
    <row r="95" spans="1:34" s="69" customFormat="1" x14ac:dyDescent="0.3">
      <c r="A95" s="101">
        <v>92</v>
      </c>
      <c r="B95" s="34" t="s">
        <v>26</v>
      </c>
      <c r="C95" s="34" t="s">
        <v>214</v>
      </c>
      <c r="D95" s="35" t="s">
        <v>215</v>
      </c>
      <c r="E95" s="35" t="s">
        <v>161</v>
      </c>
      <c r="F95" s="36" t="s">
        <v>43</v>
      </c>
      <c r="G95" s="37"/>
      <c r="H95" s="38">
        <f t="shared" si="4"/>
        <v>2940.78</v>
      </c>
      <c r="I95" s="39"/>
      <c r="J95" s="40">
        <v>2558.7800000000002</v>
      </c>
      <c r="K95" s="41">
        <f t="shared" si="7"/>
        <v>2558.7800000000002</v>
      </c>
      <c r="L95" s="42">
        <v>0</v>
      </c>
      <c r="M95" s="42"/>
      <c r="N95" s="40">
        <v>279</v>
      </c>
      <c r="O95" s="43">
        <f t="shared" si="5"/>
        <v>382</v>
      </c>
      <c r="P95" s="40">
        <v>330</v>
      </c>
      <c r="Q95" s="40">
        <v>52</v>
      </c>
      <c r="R95" s="40"/>
      <c r="S95" s="76">
        <f t="shared" si="6"/>
        <v>2558.7800000000002</v>
      </c>
      <c r="T95" s="35" t="s">
        <v>218</v>
      </c>
      <c r="U95" s="34" t="s">
        <v>217</v>
      </c>
      <c r="V95" s="35" t="s">
        <v>215</v>
      </c>
      <c r="W95" s="35" t="s">
        <v>161</v>
      </c>
      <c r="X95" s="34" t="s">
        <v>29</v>
      </c>
      <c r="Y95" s="77" t="e">
        <f>#REF!-H95</f>
        <v>#REF!</v>
      </c>
      <c r="Z95" s="78" t="e">
        <f>#REF!-J95</f>
        <v>#REF!</v>
      </c>
      <c r="AA95" s="79" t="e">
        <f>#REF!-L95</f>
        <v>#REF!</v>
      </c>
      <c r="AB95" s="78" t="e">
        <f>#REF!-N95</f>
        <v>#REF!</v>
      </c>
      <c r="AC95" s="77" t="e">
        <f>(#REF!+#REF!)-S95</f>
        <v>#REF!</v>
      </c>
      <c r="AD95" s="80" t="e">
        <f>AC95/(#REF!+#REF!)*100</f>
        <v>#REF!</v>
      </c>
      <c r="AG95" s="81"/>
      <c r="AH95" s="33" t="s">
        <v>34</v>
      </c>
    </row>
    <row r="96" spans="1:34" s="69" customFormat="1" x14ac:dyDescent="0.3">
      <c r="A96" s="75">
        <v>93</v>
      </c>
      <c r="B96" s="34" t="s">
        <v>26</v>
      </c>
      <c r="C96" s="34" t="s">
        <v>214</v>
      </c>
      <c r="D96" s="35" t="s">
        <v>219</v>
      </c>
      <c r="E96" s="35" t="s">
        <v>31</v>
      </c>
      <c r="F96" s="36" t="s">
        <v>30</v>
      </c>
      <c r="G96" s="37"/>
      <c r="H96" s="38">
        <f t="shared" si="4"/>
        <v>5150.4699999999993</v>
      </c>
      <c r="I96" s="39"/>
      <c r="J96" s="40">
        <v>3509.47</v>
      </c>
      <c r="K96" s="41">
        <f t="shared" si="7"/>
        <v>3509.47</v>
      </c>
      <c r="L96" s="42">
        <f>1177+1.3</f>
        <v>1178.3</v>
      </c>
      <c r="M96" s="42"/>
      <c r="N96" s="40">
        <v>445</v>
      </c>
      <c r="O96" s="43">
        <f t="shared" si="5"/>
        <v>462.7</v>
      </c>
      <c r="P96" s="40">
        <v>421</v>
      </c>
      <c r="Q96" s="40">
        <v>41.7</v>
      </c>
      <c r="R96" s="40"/>
      <c r="S96" s="76">
        <f t="shared" si="6"/>
        <v>4687.7699999999995</v>
      </c>
      <c r="T96" s="35" t="s">
        <v>220</v>
      </c>
      <c r="U96" s="34" t="s">
        <v>217</v>
      </c>
      <c r="V96" s="35" t="s">
        <v>219</v>
      </c>
      <c r="W96" s="35" t="s">
        <v>31</v>
      </c>
      <c r="X96" s="34" t="s">
        <v>29</v>
      </c>
      <c r="Y96" s="77" t="e">
        <f>#REF!-H96</f>
        <v>#REF!</v>
      </c>
      <c r="Z96" s="78" t="e">
        <f>#REF!-J96</f>
        <v>#REF!</v>
      </c>
      <c r="AA96" s="79" t="e">
        <f>#REF!-L96</f>
        <v>#REF!</v>
      </c>
      <c r="AB96" s="78" t="e">
        <f>#REF!-N96</f>
        <v>#REF!</v>
      </c>
      <c r="AC96" s="77" t="e">
        <f>(#REF!+#REF!)-S96</f>
        <v>#REF!</v>
      </c>
      <c r="AD96" s="80" t="e">
        <f>AC96/(#REF!+#REF!)*100</f>
        <v>#REF!</v>
      </c>
      <c r="AG96" s="81"/>
      <c r="AH96" s="33" t="s">
        <v>34</v>
      </c>
    </row>
    <row r="97" spans="1:34" s="69" customFormat="1" x14ac:dyDescent="0.3">
      <c r="A97" s="75">
        <v>94</v>
      </c>
      <c r="B97" s="34" t="s">
        <v>26</v>
      </c>
      <c r="C97" s="34" t="s">
        <v>214</v>
      </c>
      <c r="D97" s="35" t="s">
        <v>219</v>
      </c>
      <c r="E97" s="35" t="s">
        <v>161</v>
      </c>
      <c r="F97" s="36" t="s">
        <v>43</v>
      </c>
      <c r="G97" s="37"/>
      <c r="H97" s="38">
        <f t="shared" si="4"/>
        <v>2838.2000000000003</v>
      </c>
      <c r="I97" s="39"/>
      <c r="J97" s="40">
        <f>2534.55+0.15</f>
        <v>2534.7000000000003</v>
      </c>
      <c r="K97" s="41">
        <f t="shared" si="7"/>
        <v>2534.7000000000003</v>
      </c>
      <c r="L97" s="42">
        <v>0</v>
      </c>
      <c r="M97" s="42"/>
      <c r="N97" s="40">
        <v>303.5</v>
      </c>
      <c r="O97" s="43">
        <f t="shared" si="5"/>
        <v>303.5</v>
      </c>
      <c r="P97" s="40">
        <v>265</v>
      </c>
      <c r="Q97" s="40">
        <v>38.5</v>
      </c>
      <c r="R97" s="40"/>
      <c r="S97" s="76">
        <f t="shared" si="6"/>
        <v>2534.7000000000003</v>
      </c>
      <c r="T97" s="35" t="s">
        <v>221</v>
      </c>
      <c r="U97" s="34" t="s">
        <v>217</v>
      </c>
      <c r="V97" s="35" t="s">
        <v>219</v>
      </c>
      <c r="W97" s="35" t="s">
        <v>161</v>
      </c>
      <c r="X97" s="34" t="s">
        <v>29</v>
      </c>
      <c r="Y97" s="77" t="e">
        <f>#REF!-H97</f>
        <v>#REF!</v>
      </c>
      <c r="Z97" s="78" t="e">
        <f>#REF!-J97</f>
        <v>#REF!</v>
      </c>
      <c r="AA97" s="79" t="e">
        <f>#REF!-L97</f>
        <v>#REF!</v>
      </c>
      <c r="AB97" s="78" t="e">
        <f>#REF!-N97</f>
        <v>#REF!</v>
      </c>
      <c r="AC97" s="77" t="e">
        <f>(#REF!+#REF!)-S97</f>
        <v>#REF!</v>
      </c>
      <c r="AD97" s="80" t="e">
        <f>AC97/(#REF!+#REF!)*100</f>
        <v>#REF!</v>
      </c>
      <c r="AG97" s="81"/>
      <c r="AH97" s="33" t="s">
        <v>34</v>
      </c>
    </row>
    <row r="98" spans="1:34" s="69" customFormat="1" x14ac:dyDescent="0.3">
      <c r="A98" s="101">
        <v>95</v>
      </c>
      <c r="B98" s="34" t="s">
        <v>26</v>
      </c>
      <c r="C98" s="34" t="s">
        <v>214</v>
      </c>
      <c r="D98" s="35" t="s">
        <v>222</v>
      </c>
      <c r="E98" s="35" t="s">
        <v>29</v>
      </c>
      <c r="F98" s="36" t="s">
        <v>30</v>
      </c>
      <c r="G98" s="37" t="s">
        <v>31</v>
      </c>
      <c r="H98" s="38">
        <f t="shared" si="4"/>
        <v>5695.5</v>
      </c>
      <c r="I98" s="39"/>
      <c r="J98" s="40">
        <v>4411.08</v>
      </c>
      <c r="K98" s="41">
        <f t="shared" si="7"/>
        <v>4411.08</v>
      </c>
      <c r="L98" s="42">
        <f>631.6-12.9</f>
        <v>618.70000000000005</v>
      </c>
      <c r="M98" s="42"/>
      <c r="N98" s="40">
        <v>557</v>
      </c>
      <c r="O98" s="43">
        <f t="shared" si="5"/>
        <v>665.72</v>
      </c>
      <c r="P98" s="40">
        <v>557</v>
      </c>
      <c r="Q98" s="40">
        <v>108.72</v>
      </c>
      <c r="R98" s="40"/>
      <c r="S98" s="76">
        <f t="shared" si="6"/>
        <v>5029.78</v>
      </c>
      <c r="T98" s="35" t="s">
        <v>223</v>
      </c>
      <c r="U98" s="34" t="s">
        <v>217</v>
      </c>
      <c r="V98" s="35" t="s">
        <v>222</v>
      </c>
      <c r="W98" s="35" t="s">
        <v>29</v>
      </c>
      <c r="X98" s="34" t="s">
        <v>29</v>
      </c>
      <c r="Y98" s="77" t="e">
        <f>#REF!-H98</f>
        <v>#REF!</v>
      </c>
      <c r="Z98" s="78" t="e">
        <f>#REF!-J98</f>
        <v>#REF!</v>
      </c>
      <c r="AA98" s="79" t="e">
        <f>#REF!-L98</f>
        <v>#REF!</v>
      </c>
      <c r="AB98" s="78" t="e">
        <f>#REF!-N98</f>
        <v>#REF!</v>
      </c>
      <c r="AC98" s="77" t="e">
        <f>(#REF!+#REF!)-S98</f>
        <v>#REF!</v>
      </c>
      <c r="AD98" s="80" t="e">
        <f>AC98/(#REF!+#REF!)*100</f>
        <v>#REF!</v>
      </c>
      <c r="AG98" s="81"/>
      <c r="AH98" s="33" t="s">
        <v>34</v>
      </c>
    </row>
    <row r="99" spans="1:34" s="69" customFormat="1" x14ac:dyDescent="0.3">
      <c r="A99" s="75">
        <v>96</v>
      </c>
      <c r="B99" s="34" t="s">
        <v>26</v>
      </c>
      <c r="C99" s="34" t="s">
        <v>214</v>
      </c>
      <c r="D99" s="35" t="s">
        <v>224</v>
      </c>
      <c r="E99" s="35" t="s">
        <v>29</v>
      </c>
      <c r="F99" s="36" t="s">
        <v>30</v>
      </c>
      <c r="G99" s="37"/>
      <c r="H99" s="38">
        <f t="shared" si="4"/>
        <v>3978.49</v>
      </c>
      <c r="I99" s="39"/>
      <c r="J99" s="40">
        <v>2789.79</v>
      </c>
      <c r="K99" s="41">
        <f t="shared" si="7"/>
        <v>2789.79</v>
      </c>
      <c r="L99" s="42">
        <v>855.7</v>
      </c>
      <c r="M99" s="42"/>
      <c r="N99" s="40">
        <v>341.96</v>
      </c>
      <c r="O99" s="43">
        <f t="shared" si="5"/>
        <v>333</v>
      </c>
      <c r="P99" s="40">
        <v>333</v>
      </c>
      <c r="Q99" s="40"/>
      <c r="R99" s="40"/>
      <c r="S99" s="76">
        <f t="shared" si="6"/>
        <v>3645.49</v>
      </c>
      <c r="T99" s="35" t="s">
        <v>225</v>
      </c>
      <c r="U99" s="34" t="s">
        <v>217</v>
      </c>
      <c r="V99" s="35" t="s">
        <v>224</v>
      </c>
      <c r="W99" s="35" t="s">
        <v>29</v>
      </c>
      <c r="X99" s="34" t="s">
        <v>29</v>
      </c>
      <c r="Y99" s="77" t="e">
        <f>#REF!-H99</f>
        <v>#REF!</v>
      </c>
      <c r="Z99" s="78" t="e">
        <f>#REF!-J99</f>
        <v>#REF!</v>
      </c>
      <c r="AA99" s="79" t="e">
        <f>#REF!-L99</f>
        <v>#REF!</v>
      </c>
      <c r="AB99" s="78" t="e">
        <f>#REF!-N99</f>
        <v>#REF!</v>
      </c>
      <c r="AC99" s="77" t="e">
        <f>(#REF!+#REF!)-S99</f>
        <v>#REF!</v>
      </c>
      <c r="AD99" s="80" t="e">
        <f>AC99/(#REF!+#REF!)*100</f>
        <v>#REF!</v>
      </c>
      <c r="AG99" s="81"/>
      <c r="AH99" s="33" t="s">
        <v>34</v>
      </c>
    </row>
    <row r="100" spans="1:34" s="69" customFormat="1" x14ac:dyDescent="0.3">
      <c r="A100" s="75">
        <v>97</v>
      </c>
      <c r="B100" s="34" t="s">
        <v>26</v>
      </c>
      <c r="C100" s="34" t="s">
        <v>226</v>
      </c>
      <c r="D100" s="35" t="s">
        <v>161</v>
      </c>
      <c r="E100" s="35" t="s">
        <v>31</v>
      </c>
      <c r="F100" s="36" t="s">
        <v>30</v>
      </c>
      <c r="G100" s="37" t="s">
        <v>31</v>
      </c>
      <c r="H100" s="38">
        <f t="shared" si="4"/>
        <v>22024.799999999999</v>
      </c>
      <c r="I100" s="39"/>
      <c r="J100" s="40">
        <v>18388.599999999999</v>
      </c>
      <c r="K100" s="41">
        <f t="shared" si="7"/>
        <v>18388.599999999999</v>
      </c>
      <c r="L100" s="42">
        <v>0</v>
      </c>
      <c r="M100" s="42"/>
      <c r="N100" s="40">
        <v>3636.2</v>
      </c>
      <c r="O100" s="43">
        <f t="shared" si="5"/>
        <v>3636.2000000000003</v>
      </c>
      <c r="P100" s="40">
        <v>3336.8</v>
      </c>
      <c r="Q100" s="40">
        <v>299.39999999999998</v>
      </c>
      <c r="R100" s="40"/>
      <c r="S100" s="76">
        <f t="shared" si="6"/>
        <v>18388.599999999999</v>
      </c>
      <c r="T100" s="35" t="s">
        <v>227</v>
      </c>
      <c r="U100" s="34" t="s">
        <v>228</v>
      </c>
      <c r="V100" s="35" t="s">
        <v>161</v>
      </c>
      <c r="W100" s="35" t="s">
        <v>31</v>
      </c>
      <c r="X100" s="34" t="s">
        <v>29</v>
      </c>
      <c r="Y100" s="77" t="e">
        <f>#REF!-H100</f>
        <v>#REF!</v>
      </c>
      <c r="Z100" s="78" t="e">
        <f>#REF!-J100</f>
        <v>#REF!</v>
      </c>
      <c r="AA100" s="79" t="e">
        <f>#REF!-L100</f>
        <v>#REF!</v>
      </c>
      <c r="AB100" s="78" t="e">
        <f>#REF!-N100</f>
        <v>#REF!</v>
      </c>
      <c r="AC100" s="77" t="e">
        <f>(#REF!+#REF!)-S100</f>
        <v>#REF!</v>
      </c>
      <c r="AD100" s="80" t="e">
        <f>AC100/(#REF!+#REF!)*100</f>
        <v>#REF!</v>
      </c>
      <c r="AG100" s="81"/>
      <c r="AH100" s="33" t="s">
        <v>34</v>
      </c>
    </row>
    <row r="101" spans="1:34" s="69" customFormat="1" ht="21" x14ac:dyDescent="0.3">
      <c r="A101" s="234">
        <v>98</v>
      </c>
      <c r="B101" s="82" t="s">
        <v>26</v>
      </c>
      <c r="C101" s="82" t="s">
        <v>226</v>
      </c>
      <c r="D101" s="83" t="s">
        <v>69</v>
      </c>
      <c r="E101" s="83" t="s">
        <v>29</v>
      </c>
      <c r="F101" s="84" t="s">
        <v>30</v>
      </c>
      <c r="G101" s="85" t="s">
        <v>31</v>
      </c>
      <c r="H101" s="86">
        <f t="shared" si="4"/>
        <v>9436.4</v>
      </c>
      <c r="I101" s="87"/>
      <c r="J101" s="88">
        <v>6734.2</v>
      </c>
      <c r="K101" s="89">
        <f t="shared" si="7"/>
        <v>6734.2</v>
      </c>
      <c r="L101" s="90">
        <v>126.6</v>
      </c>
      <c r="M101" s="90"/>
      <c r="N101" s="88">
        <v>2218</v>
      </c>
      <c r="O101" s="91">
        <f t="shared" si="5"/>
        <v>2575.6</v>
      </c>
      <c r="P101" s="88">
        <v>2218</v>
      </c>
      <c r="Q101" s="88">
        <v>357.6</v>
      </c>
      <c r="R101" s="88"/>
      <c r="S101" s="92">
        <f t="shared" si="6"/>
        <v>6860.8</v>
      </c>
      <c r="T101" s="93" t="s">
        <v>57</v>
      </c>
      <c r="U101" s="82" t="s">
        <v>228</v>
      </c>
      <c r="V101" s="83" t="s">
        <v>69</v>
      </c>
      <c r="W101" s="83" t="s">
        <v>29</v>
      </c>
      <c r="X101" s="82" t="s">
        <v>29</v>
      </c>
      <c r="Y101" s="94" t="e">
        <f>#REF!-H101</f>
        <v>#REF!</v>
      </c>
      <c r="Z101" s="95" t="e">
        <f>#REF!-J101</f>
        <v>#REF!</v>
      </c>
      <c r="AA101" s="96" t="e">
        <f>#REF!-L101</f>
        <v>#REF!</v>
      </c>
      <c r="AB101" s="95" t="e">
        <f>#REF!-N101</f>
        <v>#REF!</v>
      </c>
      <c r="AC101" s="94" t="e">
        <f>(#REF!+#REF!)-S101</f>
        <v>#REF!</v>
      </c>
      <c r="AD101" s="97" t="e">
        <f>AC101/(#REF!+#REF!)*100</f>
        <v>#REF!</v>
      </c>
      <c r="AE101" s="98"/>
      <c r="AF101" s="98"/>
      <c r="AG101" s="99"/>
      <c r="AH101" s="100" t="s">
        <v>95</v>
      </c>
    </row>
    <row r="102" spans="1:34" s="69" customFormat="1" x14ac:dyDescent="0.3">
      <c r="A102" s="75">
        <v>100</v>
      </c>
      <c r="B102" s="34" t="s">
        <v>26</v>
      </c>
      <c r="C102" s="34" t="s">
        <v>229</v>
      </c>
      <c r="D102" s="35" t="s">
        <v>80</v>
      </c>
      <c r="E102" s="35" t="s">
        <v>29</v>
      </c>
      <c r="F102" s="36" t="s">
        <v>56</v>
      </c>
      <c r="G102" s="37" t="s">
        <v>31</v>
      </c>
      <c r="H102" s="38">
        <f t="shared" si="4"/>
        <v>8702.9000000000015</v>
      </c>
      <c r="I102" s="39"/>
      <c r="J102" s="40">
        <f>4805.3+442.5-2</f>
        <v>5245.8</v>
      </c>
      <c r="K102" s="41">
        <f t="shared" si="7"/>
        <v>5245.8</v>
      </c>
      <c r="L102" s="42">
        <f>1097.9-1.6-440.5</f>
        <v>655.80000000000018</v>
      </c>
      <c r="M102" s="42"/>
      <c r="N102" s="42">
        <v>2801.3</v>
      </c>
      <c r="O102" s="43">
        <f t="shared" si="5"/>
        <v>2801.3</v>
      </c>
      <c r="P102" s="42">
        <v>1882</v>
      </c>
      <c r="Q102" s="42">
        <v>919.3</v>
      </c>
      <c r="R102" s="42"/>
      <c r="S102" s="76">
        <f t="shared" si="6"/>
        <v>5901.6</v>
      </c>
      <c r="T102" s="35" t="s">
        <v>230</v>
      </c>
      <c r="U102" s="34" t="s">
        <v>231</v>
      </c>
      <c r="V102" s="35" t="s">
        <v>80</v>
      </c>
      <c r="W102" s="35" t="s">
        <v>29</v>
      </c>
      <c r="X102" s="34" t="s">
        <v>29</v>
      </c>
      <c r="Y102" s="77" t="e">
        <f>#REF!-H102</f>
        <v>#REF!</v>
      </c>
      <c r="Z102" s="78" t="e">
        <f>#REF!-J102</f>
        <v>#REF!</v>
      </c>
      <c r="AA102" s="79" t="e">
        <f>#REF!-L102</f>
        <v>#REF!</v>
      </c>
      <c r="AB102" s="78" t="e">
        <f>#REF!-N102</f>
        <v>#REF!</v>
      </c>
      <c r="AC102" s="77" t="e">
        <f>(#REF!+#REF!)-S102</f>
        <v>#REF!</v>
      </c>
      <c r="AD102" s="80" t="e">
        <f>AC102/(#REF!+#REF!)*100</f>
        <v>#REF!</v>
      </c>
      <c r="AG102" s="81"/>
      <c r="AH102" s="33" t="s">
        <v>34</v>
      </c>
    </row>
    <row r="103" spans="1:34" s="69" customFormat="1" x14ac:dyDescent="0.3">
      <c r="A103" s="101">
        <v>101</v>
      </c>
      <c r="B103" s="34" t="s">
        <v>26</v>
      </c>
      <c r="C103" s="34" t="s">
        <v>229</v>
      </c>
      <c r="D103" s="35" t="s">
        <v>105</v>
      </c>
      <c r="E103" s="35" t="s">
        <v>29</v>
      </c>
      <c r="F103" s="36" t="s">
        <v>30</v>
      </c>
      <c r="G103" s="37" t="s">
        <v>31</v>
      </c>
      <c r="H103" s="38">
        <f t="shared" si="4"/>
        <v>46914.06</v>
      </c>
      <c r="I103" s="39"/>
      <c r="J103" s="40">
        <f>35897.5+0.6</f>
        <v>35898.1</v>
      </c>
      <c r="K103" s="41">
        <f t="shared" si="7"/>
        <v>35898.1</v>
      </c>
      <c r="L103" s="42">
        <f>1111.56-9.36-34.4-30.8</f>
        <v>1037</v>
      </c>
      <c r="M103" s="42">
        <v>141</v>
      </c>
      <c r="N103" s="42">
        <v>10434.9</v>
      </c>
      <c r="O103" s="43">
        <f t="shared" si="5"/>
        <v>9978.9599999999991</v>
      </c>
      <c r="P103" s="42">
        <v>3336</v>
      </c>
      <c r="Q103" s="42"/>
      <c r="R103" s="106">
        <f>7055.14-412.18</f>
        <v>6642.96</v>
      </c>
      <c r="S103" s="76">
        <f t="shared" si="6"/>
        <v>36935.1</v>
      </c>
      <c r="T103" s="35" t="s">
        <v>232</v>
      </c>
      <c r="U103" s="34" t="s">
        <v>231</v>
      </c>
      <c r="V103" s="35" t="s">
        <v>105</v>
      </c>
      <c r="W103" s="35" t="s">
        <v>29</v>
      </c>
      <c r="X103" s="34" t="s">
        <v>29</v>
      </c>
      <c r="Y103" s="77" t="e">
        <f>#REF!-H103</f>
        <v>#REF!</v>
      </c>
      <c r="Z103" s="78" t="e">
        <f>#REF!-J103</f>
        <v>#REF!</v>
      </c>
      <c r="AA103" s="79" t="e">
        <f>#REF!-L103</f>
        <v>#REF!</v>
      </c>
      <c r="AB103" s="78" t="e">
        <f>#REF!-N103</f>
        <v>#REF!</v>
      </c>
      <c r="AC103" s="77" t="e">
        <f>(#REF!+#REF!)-S103</f>
        <v>#REF!</v>
      </c>
      <c r="AD103" s="80" t="e">
        <f>AC103/(#REF!+#REF!)*100</f>
        <v>#REF!</v>
      </c>
      <c r="AG103" s="81"/>
      <c r="AH103" s="33" t="s">
        <v>34</v>
      </c>
    </row>
    <row r="104" spans="1:34" s="69" customFormat="1" x14ac:dyDescent="0.3">
      <c r="A104" s="75">
        <v>102</v>
      </c>
      <c r="B104" s="34" t="s">
        <v>26</v>
      </c>
      <c r="C104" s="34" t="s">
        <v>229</v>
      </c>
      <c r="D104" s="35" t="s">
        <v>105</v>
      </c>
      <c r="E104" s="35" t="s">
        <v>29</v>
      </c>
      <c r="F104" s="36" t="s">
        <v>155</v>
      </c>
      <c r="G104" s="37" t="s">
        <v>31</v>
      </c>
      <c r="H104" s="38">
        <f t="shared" si="4"/>
        <v>9444.7999999999993</v>
      </c>
      <c r="I104" s="39"/>
      <c r="J104" s="40">
        <v>6487.9</v>
      </c>
      <c r="K104" s="41">
        <f t="shared" si="7"/>
        <v>6487.9</v>
      </c>
      <c r="L104" s="42">
        <v>1086.7</v>
      </c>
      <c r="M104" s="42"/>
      <c r="N104" s="42">
        <v>1952.3</v>
      </c>
      <c r="O104" s="43">
        <f t="shared" si="5"/>
        <v>1870.2</v>
      </c>
      <c r="P104" s="42">
        <v>1491</v>
      </c>
      <c r="Q104" s="42">
        <v>379.2</v>
      </c>
      <c r="R104" s="42"/>
      <c r="S104" s="76">
        <f t="shared" si="6"/>
        <v>7574.5999999999995</v>
      </c>
      <c r="T104" s="35" t="s">
        <v>233</v>
      </c>
      <c r="U104" s="34" t="s">
        <v>231</v>
      </c>
      <c r="V104" s="35" t="s">
        <v>105</v>
      </c>
      <c r="W104" s="35" t="s">
        <v>29</v>
      </c>
      <c r="X104" s="34" t="s">
        <v>29</v>
      </c>
      <c r="Y104" s="77" t="e">
        <f>#REF!-H104</f>
        <v>#REF!</v>
      </c>
      <c r="Z104" s="78" t="e">
        <f>#REF!-J104</f>
        <v>#REF!</v>
      </c>
      <c r="AA104" s="79" t="e">
        <f>#REF!-L104</f>
        <v>#REF!</v>
      </c>
      <c r="AB104" s="78" t="e">
        <f>#REF!-N104</f>
        <v>#REF!</v>
      </c>
      <c r="AC104" s="77" t="e">
        <f>(#REF!+#REF!)-S104</f>
        <v>#REF!</v>
      </c>
      <c r="AD104" s="80" t="e">
        <f>AC104/(#REF!+#REF!)*100</f>
        <v>#REF!</v>
      </c>
      <c r="AG104" s="81"/>
      <c r="AH104" s="33" t="s">
        <v>34</v>
      </c>
    </row>
    <row r="105" spans="1:34" s="69" customFormat="1" x14ac:dyDescent="0.3">
      <c r="A105" s="75">
        <v>103</v>
      </c>
      <c r="B105" s="34" t="s">
        <v>26</v>
      </c>
      <c r="C105" s="34" t="s">
        <v>229</v>
      </c>
      <c r="D105" s="35" t="s">
        <v>105</v>
      </c>
      <c r="E105" s="35" t="s">
        <v>29</v>
      </c>
      <c r="F105" s="36" t="s">
        <v>103</v>
      </c>
      <c r="G105" s="37" t="s">
        <v>31</v>
      </c>
      <c r="H105" s="38">
        <f t="shared" si="4"/>
        <v>10038.9</v>
      </c>
      <c r="I105" s="39"/>
      <c r="J105" s="40">
        <v>6976.7</v>
      </c>
      <c r="K105" s="41">
        <f t="shared" si="7"/>
        <v>6976.7</v>
      </c>
      <c r="L105" s="42">
        <v>783</v>
      </c>
      <c r="M105" s="42">
        <v>105.4</v>
      </c>
      <c r="N105" s="42">
        <v>1795.4</v>
      </c>
      <c r="O105" s="43">
        <f t="shared" si="5"/>
        <v>2279.1999999999998</v>
      </c>
      <c r="P105" s="42">
        <v>1312.7</v>
      </c>
      <c r="Q105" s="42">
        <v>201.1</v>
      </c>
      <c r="R105" s="42">
        <v>765.4</v>
      </c>
      <c r="S105" s="76">
        <f t="shared" si="6"/>
        <v>7759.7</v>
      </c>
      <c r="T105" s="35" t="s">
        <v>234</v>
      </c>
      <c r="U105" s="34" t="s">
        <v>231</v>
      </c>
      <c r="V105" s="35" t="s">
        <v>105</v>
      </c>
      <c r="W105" s="35" t="s">
        <v>29</v>
      </c>
      <c r="X105" s="34" t="s">
        <v>29</v>
      </c>
      <c r="Y105" s="77" t="e">
        <f>#REF!-H105</f>
        <v>#REF!</v>
      </c>
      <c r="Z105" s="78" t="e">
        <f>#REF!-J105</f>
        <v>#REF!</v>
      </c>
      <c r="AA105" s="79" t="e">
        <f>#REF!-L105</f>
        <v>#REF!</v>
      </c>
      <c r="AB105" s="78" t="e">
        <f>#REF!-N105</f>
        <v>#REF!</v>
      </c>
      <c r="AC105" s="77" t="e">
        <f>(#REF!+#REF!)-S105</f>
        <v>#REF!</v>
      </c>
      <c r="AD105" s="80" t="e">
        <f>AC105/(#REF!+#REF!)*100</f>
        <v>#REF!</v>
      </c>
      <c r="AG105" s="81"/>
      <c r="AH105" s="33" t="s">
        <v>34</v>
      </c>
    </row>
    <row r="106" spans="1:34" s="69" customFormat="1" x14ac:dyDescent="0.3">
      <c r="A106" s="101">
        <v>104</v>
      </c>
      <c r="B106" s="34" t="s">
        <v>26</v>
      </c>
      <c r="C106" s="34" t="s">
        <v>229</v>
      </c>
      <c r="D106" s="35" t="s">
        <v>109</v>
      </c>
      <c r="E106" s="35" t="s">
        <v>29</v>
      </c>
      <c r="F106" s="36" t="s">
        <v>43</v>
      </c>
      <c r="G106" s="37" t="s">
        <v>31</v>
      </c>
      <c r="H106" s="38">
        <f t="shared" si="4"/>
        <v>9534.2000000000007</v>
      </c>
      <c r="I106" s="39"/>
      <c r="J106" s="40">
        <v>6997.6</v>
      </c>
      <c r="K106" s="41">
        <f t="shared" si="7"/>
        <v>6997.6</v>
      </c>
      <c r="L106" s="42">
        <f>64.7+40.5</f>
        <v>105.2</v>
      </c>
      <c r="M106" s="42"/>
      <c r="N106" s="40">
        <f>2471.9-34.6</f>
        <v>2437.3000000000002</v>
      </c>
      <c r="O106" s="43">
        <f t="shared" si="5"/>
        <v>2431.4</v>
      </c>
      <c r="P106" s="40">
        <v>1841</v>
      </c>
      <c r="Q106" s="40">
        <v>590.4</v>
      </c>
      <c r="R106" s="40"/>
      <c r="S106" s="76">
        <f t="shared" si="6"/>
        <v>7102.8</v>
      </c>
      <c r="T106" s="35" t="s">
        <v>235</v>
      </c>
      <c r="U106" s="34" t="s">
        <v>231</v>
      </c>
      <c r="V106" s="35" t="s">
        <v>109</v>
      </c>
      <c r="W106" s="35" t="s">
        <v>29</v>
      </c>
      <c r="X106" s="34" t="s">
        <v>29</v>
      </c>
      <c r="Y106" s="77" t="e">
        <f>#REF!-H106</f>
        <v>#REF!</v>
      </c>
      <c r="Z106" s="78" t="e">
        <f>#REF!-J106</f>
        <v>#REF!</v>
      </c>
      <c r="AA106" s="79" t="e">
        <f>#REF!-L106</f>
        <v>#REF!</v>
      </c>
      <c r="AB106" s="78" t="e">
        <f>#REF!-N106</f>
        <v>#REF!</v>
      </c>
      <c r="AC106" s="77" t="e">
        <f>(#REF!+#REF!)-S106</f>
        <v>#REF!</v>
      </c>
      <c r="AD106" s="80" t="e">
        <f>AC106/(#REF!+#REF!)*100</f>
        <v>#REF!</v>
      </c>
      <c r="AG106" s="81"/>
      <c r="AH106" s="33" t="s">
        <v>34</v>
      </c>
    </row>
    <row r="107" spans="1:34" s="69" customFormat="1" x14ac:dyDescent="0.3">
      <c r="A107" s="75">
        <v>105</v>
      </c>
      <c r="B107" s="34" t="s">
        <v>26</v>
      </c>
      <c r="C107" s="34" t="s">
        <v>229</v>
      </c>
      <c r="D107" s="35" t="s">
        <v>109</v>
      </c>
      <c r="E107" s="35" t="s">
        <v>29</v>
      </c>
      <c r="F107" s="36" t="s">
        <v>155</v>
      </c>
      <c r="G107" s="37" t="s">
        <v>31</v>
      </c>
      <c r="H107" s="38">
        <f t="shared" si="4"/>
        <v>10041.299999999999</v>
      </c>
      <c r="I107" s="39"/>
      <c r="J107" s="40">
        <f>6985</f>
        <v>6985</v>
      </c>
      <c r="K107" s="41">
        <f t="shared" si="7"/>
        <v>6985</v>
      </c>
      <c r="L107" s="42">
        <v>622.5</v>
      </c>
      <c r="M107" s="42"/>
      <c r="N107" s="40">
        <f>1831.8+1715</f>
        <v>3546.8</v>
      </c>
      <c r="O107" s="43">
        <f t="shared" si="5"/>
        <v>2433.8000000000002</v>
      </c>
      <c r="P107" s="40">
        <v>1715</v>
      </c>
      <c r="Q107" s="40">
        <v>718.8</v>
      </c>
      <c r="R107" s="40"/>
      <c r="S107" s="76">
        <f t="shared" si="6"/>
        <v>7607.5</v>
      </c>
      <c r="T107" s="35" t="s">
        <v>236</v>
      </c>
      <c r="U107" s="34" t="s">
        <v>231</v>
      </c>
      <c r="V107" s="35" t="s">
        <v>109</v>
      </c>
      <c r="W107" s="35" t="s">
        <v>29</v>
      </c>
      <c r="X107" s="34" t="s">
        <v>29</v>
      </c>
      <c r="Y107" s="77" t="e">
        <f>#REF!-H107</f>
        <v>#REF!</v>
      </c>
      <c r="Z107" s="78" t="e">
        <f>#REF!-J107</f>
        <v>#REF!</v>
      </c>
      <c r="AA107" s="79" t="e">
        <f>#REF!-L107</f>
        <v>#REF!</v>
      </c>
      <c r="AB107" s="78" t="e">
        <f>#REF!-N107</f>
        <v>#REF!</v>
      </c>
      <c r="AC107" s="77" t="e">
        <f>(#REF!+#REF!)-S107</f>
        <v>#REF!</v>
      </c>
      <c r="AD107" s="80" t="e">
        <f>AC107/(#REF!+#REF!)*100</f>
        <v>#REF!</v>
      </c>
      <c r="AG107" s="81"/>
      <c r="AH107" s="33" t="s">
        <v>34</v>
      </c>
    </row>
    <row r="108" spans="1:34" s="69" customFormat="1" x14ac:dyDescent="0.3">
      <c r="A108" s="75">
        <v>106</v>
      </c>
      <c r="B108" s="34" t="s">
        <v>26</v>
      </c>
      <c r="C108" s="34" t="s">
        <v>229</v>
      </c>
      <c r="D108" s="35" t="s">
        <v>109</v>
      </c>
      <c r="E108" s="35" t="s">
        <v>29</v>
      </c>
      <c r="F108" s="36" t="s">
        <v>103</v>
      </c>
      <c r="G108" s="37" t="s">
        <v>31</v>
      </c>
      <c r="H108" s="38">
        <f t="shared" si="4"/>
        <v>10232</v>
      </c>
      <c r="I108" s="39"/>
      <c r="J108" s="40">
        <v>7079</v>
      </c>
      <c r="K108" s="41">
        <f t="shared" si="7"/>
        <v>7079</v>
      </c>
      <c r="L108" s="42">
        <v>622.9</v>
      </c>
      <c r="M108" s="42"/>
      <c r="N108" s="40">
        <f>1787.1+1715</f>
        <v>3502.1</v>
      </c>
      <c r="O108" s="43">
        <f t="shared" si="5"/>
        <v>2530.1</v>
      </c>
      <c r="P108" s="40">
        <v>1715</v>
      </c>
      <c r="Q108" s="40">
        <v>815.1</v>
      </c>
      <c r="R108" s="40"/>
      <c r="S108" s="76">
        <f t="shared" si="6"/>
        <v>7701.9</v>
      </c>
      <c r="T108" s="35" t="s">
        <v>237</v>
      </c>
      <c r="U108" s="34" t="s">
        <v>231</v>
      </c>
      <c r="V108" s="35" t="s">
        <v>109</v>
      </c>
      <c r="W108" s="35" t="s">
        <v>29</v>
      </c>
      <c r="X108" s="34" t="s">
        <v>29</v>
      </c>
      <c r="Y108" s="77" t="e">
        <f>#REF!-H108</f>
        <v>#REF!</v>
      </c>
      <c r="Z108" s="78" t="e">
        <f>#REF!-J108</f>
        <v>#REF!</v>
      </c>
      <c r="AA108" s="79" t="e">
        <f>#REF!-L108</f>
        <v>#REF!</v>
      </c>
      <c r="AB108" s="78" t="e">
        <f>#REF!-N108</f>
        <v>#REF!</v>
      </c>
      <c r="AC108" s="77" t="e">
        <f>(#REF!+#REF!)-S108</f>
        <v>#REF!</v>
      </c>
      <c r="AD108" s="80" t="e">
        <f>AC108/(#REF!+#REF!)*100</f>
        <v>#REF!</v>
      </c>
      <c r="AG108" s="81"/>
      <c r="AH108" s="33" t="s">
        <v>34</v>
      </c>
    </row>
    <row r="109" spans="1:34" s="69" customFormat="1" x14ac:dyDescent="0.3">
      <c r="A109" s="101">
        <v>107</v>
      </c>
      <c r="B109" s="34" t="s">
        <v>26</v>
      </c>
      <c r="C109" s="34" t="s">
        <v>229</v>
      </c>
      <c r="D109" s="35" t="s">
        <v>109</v>
      </c>
      <c r="E109" s="35" t="s">
        <v>29</v>
      </c>
      <c r="F109" s="36" t="s">
        <v>238</v>
      </c>
      <c r="G109" s="37" t="s">
        <v>31</v>
      </c>
      <c r="H109" s="38">
        <f t="shared" si="4"/>
        <v>6074</v>
      </c>
      <c r="I109" s="39">
        <v>0</v>
      </c>
      <c r="J109" s="40">
        <f>4795.3</f>
        <v>4795.3</v>
      </c>
      <c r="K109" s="41">
        <f t="shared" si="7"/>
        <v>4795.3</v>
      </c>
      <c r="L109" s="42">
        <v>134.69999999999999</v>
      </c>
      <c r="M109" s="42"/>
      <c r="N109" s="40">
        <v>1144</v>
      </c>
      <c r="O109" s="43">
        <f t="shared" si="5"/>
        <v>1144</v>
      </c>
      <c r="P109" s="40">
        <v>964</v>
      </c>
      <c r="Q109" s="40">
        <v>180</v>
      </c>
      <c r="R109" s="40"/>
      <c r="S109" s="76">
        <f t="shared" si="6"/>
        <v>4930</v>
      </c>
      <c r="T109" s="35" t="s">
        <v>239</v>
      </c>
      <c r="U109" s="34" t="s">
        <v>231</v>
      </c>
      <c r="V109" s="35" t="s">
        <v>109</v>
      </c>
      <c r="W109" s="35" t="s">
        <v>29</v>
      </c>
      <c r="X109" s="34" t="s">
        <v>29</v>
      </c>
      <c r="Y109" s="77" t="e">
        <f>#REF!-H109</f>
        <v>#REF!</v>
      </c>
      <c r="Z109" s="78" t="e">
        <f>#REF!-J109</f>
        <v>#REF!</v>
      </c>
      <c r="AA109" s="79" t="e">
        <f>#REF!-L109</f>
        <v>#REF!</v>
      </c>
      <c r="AB109" s="78" t="e">
        <f>#REF!-N109</f>
        <v>#REF!</v>
      </c>
      <c r="AC109" s="77" t="e">
        <f>(#REF!+#REF!)-S109</f>
        <v>#REF!</v>
      </c>
      <c r="AD109" s="80" t="e">
        <f>AC109/(#REF!+#REF!)*100</f>
        <v>#REF!</v>
      </c>
      <c r="AG109" s="81"/>
      <c r="AH109" s="33" t="s">
        <v>34</v>
      </c>
    </row>
    <row r="110" spans="1:34" s="69" customFormat="1" x14ac:dyDescent="0.3">
      <c r="A110" s="75">
        <v>108</v>
      </c>
      <c r="B110" s="34" t="s">
        <v>26</v>
      </c>
      <c r="C110" s="34" t="s">
        <v>229</v>
      </c>
      <c r="D110" s="35" t="s">
        <v>109</v>
      </c>
      <c r="E110" s="35" t="s">
        <v>161</v>
      </c>
      <c r="F110" s="36" t="s">
        <v>30</v>
      </c>
      <c r="G110" s="37" t="s">
        <v>31</v>
      </c>
      <c r="H110" s="38">
        <f t="shared" si="4"/>
        <v>8811.4700000000012</v>
      </c>
      <c r="I110" s="39">
        <v>34.380000000000003</v>
      </c>
      <c r="J110" s="40">
        <v>6394.39</v>
      </c>
      <c r="K110" s="41">
        <f t="shared" si="7"/>
        <v>6428.77</v>
      </c>
      <c r="L110" s="42">
        <v>314.39999999999998</v>
      </c>
      <c r="M110" s="42"/>
      <c r="N110" s="40">
        <v>1480.5</v>
      </c>
      <c r="O110" s="43">
        <f t="shared" si="5"/>
        <v>2068.3000000000002</v>
      </c>
      <c r="P110" s="40">
        <v>1343.5</v>
      </c>
      <c r="Q110" s="40">
        <v>137</v>
      </c>
      <c r="R110" s="40">
        <v>587.79999999999995</v>
      </c>
      <c r="S110" s="76">
        <f t="shared" si="6"/>
        <v>6743.17</v>
      </c>
      <c r="T110" s="35" t="s">
        <v>240</v>
      </c>
      <c r="U110" s="34" t="s">
        <v>231</v>
      </c>
      <c r="V110" s="35" t="s">
        <v>109</v>
      </c>
      <c r="W110" s="35" t="s">
        <v>161</v>
      </c>
      <c r="X110" s="34" t="s">
        <v>29</v>
      </c>
      <c r="Y110" s="77" t="e">
        <f>#REF!-H110</f>
        <v>#REF!</v>
      </c>
      <c r="Z110" s="78" t="e">
        <f>#REF!-J110</f>
        <v>#REF!</v>
      </c>
      <c r="AA110" s="79" t="e">
        <f>#REF!-L110</f>
        <v>#REF!</v>
      </c>
      <c r="AB110" s="78" t="e">
        <f>#REF!-N110</f>
        <v>#REF!</v>
      </c>
      <c r="AC110" s="77" t="e">
        <f>(#REF!+#REF!)-S110</f>
        <v>#REF!</v>
      </c>
      <c r="AD110" s="80" t="e">
        <f>AC110/(#REF!+#REF!)*100</f>
        <v>#REF!</v>
      </c>
      <c r="AG110" s="81"/>
      <c r="AH110" s="33" t="s">
        <v>34</v>
      </c>
    </row>
    <row r="111" spans="1:34" s="69" customFormat="1" x14ac:dyDescent="0.3">
      <c r="A111" s="75">
        <v>109</v>
      </c>
      <c r="B111" s="34" t="s">
        <v>26</v>
      </c>
      <c r="C111" s="34" t="s">
        <v>229</v>
      </c>
      <c r="D111" s="35" t="s">
        <v>109</v>
      </c>
      <c r="E111" s="35" t="s">
        <v>241</v>
      </c>
      <c r="F111" s="36" t="s">
        <v>30</v>
      </c>
      <c r="G111" s="37" t="s">
        <v>31</v>
      </c>
      <c r="H111" s="38">
        <f t="shared" si="4"/>
        <v>11393.6</v>
      </c>
      <c r="I111" s="39"/>
      <c r="J111" s="40">
        <v>8126.1</v>
      </c>
      <c r="K111" s="41">
        <f t="shared" si="7"/>
        <v>8126.1</v>
      </c>
      <c r="L111" s="42">
        <v>876</v>
      </c>
      <c r="M111" s="42"/>
      <c r="N111" s="40">
        <v>1834</v>
      </c>
      <c r="O111" s="43">
        <f t="shared" si="5"/>
        <v>2391.5</v>
      </c>
      <c r="P111" s="40">
        <v>1834</v>
      </c>
      <c r="Q111" s="40">
        <v>557.5</v>
      </c>
      <c r="R111" s="40"/>
      <c r="S111" s="76">
        <f t="shared" si="6"/>
        <v>9002.1</v>
      </c>
      <c r="T111" s="35" t="s">
        <v>242</v>
      </c>
      <c r="U111" s="34" t="s">
        <v>231</v>
      </c>
      <c r="V111" s="35" t="s">
        <v>109</v>
      </c>
      <c r="W111" s="35" t="s">
        <v>241</v>
      </c>
      <c r="X111" s="34" t="s">
        <v>29</v>
      </c>
      <c r="Y111" s="77" t="e">
        <f>#REF!-H111</f>
        <v>#REF!</v>
      </c>
      <c r="Z111" s="78" t="e">
        <f>#REF!-J111</f>
        <v>#REF!</v>
      </c>
      <c r="AA111" s="79" t="e">
        <f>#REF!-L111</f>
        <v>#REF!</v>
      </c>
      <c r="AB111" s="78" t="e">
        <f>#REF!-N111</f>
        <v>#REF!</v>
      </c>
      <c r="AC111" s="77" t="e">
        <f>(#REF!+#REF!)-S111</f>
        <v>#REF!</v>
      </c>
      <c r="AD111" s="80" t="e">
        <f>AC111/(#REF!+#REF!)*100</f>
        <v>#REF!</v>
      </c>
      <c r="AG111" s="81"/>
      <c r="AH111" s="33" t="s">
        <v>34</v>
      </c>
    </row>
    <row r="112" spans="1:34" s="69" customFormat="1" x14ac:dyDescent="0.3">
      <c r="A112" s="101">
        <v>110</v>
      </c>
      <c r="B112" s="34" t="s">
        <v>26</v>
      </c>
      <c r="C112" s="34" t="s">
        <v>229</v>
      </c>
      <c r="D112" s="35" t="s">
        <v>198</v>
      </c>
      <c r="E112" s="35" t="s">
        <v>29</v>
      </c>
      <c r="F112" s="36" t="s">
        <v>30</v>
      </c>
      <c r="G112" s="37" t="s">
        <v>31</v>
      </c>
      <c r="H112" s="38">
        <f t="shared" si="4"/>
        <v>10178.9</v>
      </c>
      <c r="I112" s="39"/>
      <c r="J112" s="40">
        <v>5976.7</v>
      </c>
      <c r="K112" s="41">
        <f t="shared" si="7"/>
        <v>5976.7</v>
      </c>
      <c r="L112" s="42">
        <f>1379.6-1+0.2</f>
        <v>1378.8</v>
      </c>
      <c r="M112" s="42"/>
      <c r="N112" s="40">
        <v>2590.6</v>
      </c>
      <c r="O112" s="43">
        <f t="shared" si="5"/>
        <v>2823.4</v>
      </c>
      <c r="P112" s="40">
        <v>2494</v>
      </c>
      <c r="Q112" s="40">
        <v>329.4</v>
      </c>
      <c r="R112" s="40"/>
      <c r="S112" s="76">
        <f t="shared" si="6"/>
        <v>7355.5</v>
      </c>
      <c r="T112" s="35" t="s">
        <v>243</v>
      </c>
      <c r="U112" s="34" t="s">
        <v>231</v>
      </c>
      <c r="V112" s="35" t="s">
        <v>198</v>
      </c>
      <c r="W112" s="35" t="s">
        <v>29</v>
      </c>
      <c r="X112" s="34" t="s">
        <v>29</v>
      </c>
      <c r="Y112" s="77" t="e">
        <f>#REF!-H112</f>
        <v>#REF!</v>
      </c>
      <c r="Z112" s="78" t="e">
        <f>#REF!-J112</f>
        <v>#REF!</v>
      </c>
      <c r="AA112" s="79" t="e">
        <f>#REF!-L112</f>
        <v>#REF!</v>
      </c>
      <c r="AB112" s="78" t="e">
        <f>#REF!-N112</f>
        <v>#REF!</v>
      </c>
      <c r="AC112" s="77" t="e">
        <f>(#REF!+#REF!)-S112</f>
        <v>#REF!</v>
      </c>
      <c r="AD112" s="80" t="e">
        <f>AC112/(#REF!+#REF!)*100</f>
        <v>#REF!</v>
      </c>
      <c r="AG112" s="81"/>
      <c r="AH112" s="33" t="s">
        <v>34</v>
      </c>
    </row>
    <row r="113" spans="1:34" s="69" customFormat="1" x14ac:dyDescent="0.3">
      <c r="A113" s="75">
        <v>111</v>
      </c>
      <c r="B113" s="34" t="s">
        <v>26</v>
      </c>
      <c r="C113" s="34" t="s">
        <v>244</v>
      </c>
      <c r="D113" s="35" t="s">
        <v>72</v>
      </c>
      <c r="E113" s="35" t="s">
        <v>29</v>
      </c>
      <c r="F113" s="36" t="s">
        <v>30</v>
      </c>
      <c r="G113" s="37"/>
      <c r="H113" s="38">
        <f t="shared" si="4"/>
        <v>3937.12</v>
      </c>
      <c r="I113" s="39"/>
      <c r="J113" s="40">
        <v>2710.86</v>
      </c>
      <c r="K113" s="41">
        <f t="shared" si="7"/>
        <v>2710.86</v>
      </c>
      <c r="L113" s="42">
        <v>458.56</v>
      </c>
      <c r="M113" s="42"/>
      <c r="N113" s="40">
        <v>660.9</v>
      </c>
      <c r="O113" s="43">
        <f t="shared" si="5"/>
        <v>767.7</v>
      </c>
      <c r="P113" s="40">
        <v>621</v>
      </c>
      <c r="Q113" s="40"/>
      <c r="R113" s="40">
        <v>146.69999999999999</v>
      </c>
      <c r="S113" s="76">
        <f t="shared" si="6"/>
        <v>3169.42</v>
      </c>
      <c r="T113" s="35" t="s">
        <v>245</v>
      </c>
      <c r="U113" s="34" t="s">
        <v>246</v>
      </c>
      <c r="V113" s="35" t="s">
        <v>72</v>
      </c>
      <c r="W113" s="35" t="s">
        <v>29</v>
      </c>
      <c r="X113" s="34" t="s">
        <v>29</v>
      </c>
      <c r="Y113" s="77" t="e">
        <f>#REF!-H113</f>
        <v>#REF!</v>
      </c>
      <c r="Z113" s="78" t="e">
        <f>#REF!-J113</f>
        <v>#REF!</v>
      </c>
      <c r="AA113" s="79" t="e">
        <f>#REF!-L113</f>
        <v>#REF!</v>
      </c>
      <c r="AB113" s="78" t="e">
        <f>#REF!-N113</f>
        <v>#REF!</v>
      </c>
      <c r="AC113" s="77" t="e">
        <f>(#REF!+#REF!)-S113</f>
        <v>#REF!</v>
      </c>
      <c r="AD113" s="80" t="e">
        <f>AC113/(#REF!+#REF!)*100</f>
        <v>#REF!</v>
      </c>
      <c r="AG113" s="81"/>
      <c r="AH113" s="33" t="s">
        <v>34</v>
      </c>
    </row>
    <row r="114" spans="1:34" s="69" customFormat="1" x14ac:dyDescent="0.3">
      <c r="A114" s="75">
        <v>112</v>
      </c>
      <c r="B114" s="34" t="s">
        <v>26</v>
      </c>
      <c r="C114" s="34" t="s">
        <v>244</v>
      </c>
      <c r="D114" s="35" t="s">
        <v>94</v>
      </c>
      <c r="E114" s="35" t="s">
        <v>29</v>
      </c>
      <c r="F114" s="36" t="s">
        <v>30</v>
      </c>
      <c r="G114" s="37"/>
      <c r="H114" s="105">
        <f t="shared" si="4"/>
        <v>4053.3999999999996</v>
      </c>
      <c r="I114" s="39"/>
      <c r="J114" s="40">
        <f>3347.4</f>
        <v>3347.4</v>
      </c>
      <c r="K114" s="41">
        <f t="shared" si="7"/>
        <v>3347.4</v>
      </c>
      <c r="L114" s="106">
        <f>83+84.2</f>
        <v>167.2</v>
      </c>
      <c r="M114" s="106">
        <v>84.2</v>
      </c>
      <c r="N114" s="40">
        <v>704.4</v>
      </c>
      <c r="O114" s="43">
        <f t="shared" si="5"/>
        <v>538.79999999999995</v>
      </c>
      <c r="P114" s="40">
        <v>500</v>
      </c>
      <c r="Q114" s="40">
        <v>38.799999999999997</v>
      </c>
      <c r="R114" s="40"/>
      <c r="S114" s="76">
        <f t="shared" si="6"/>
        <v>3514.6</v>
      </c>
      <c r="T114" s="35" t="s">
        <v>247</v>
      </c>
      <c r="U114" s="34" t="s">
        <v>246</v>
      </c>
      <c r="V114" s="35" t="s">
        <v>94</v>
      </c>
      <c r="W114" s="35" t="s">
        <v>29</v>
      </c>
      <c r="X114" s="34" t="s">
        <v>29</v>
      </c>
      <c r="Y114" s="77" t="e">
        <f>#REF!-H114</f>
        <v>#REF!</v>
      </c>
      <c r="Z114" s="78" t="e">
        <f>#REF!-J114</f>
        <v>#REF!</v>
      </c>
      <c r="AA114" s="79" t="e">
        <f>#REF!-L114</f>
        <v>#REF!</v>
      </c>
      <c r="AB114" s="78" t="e">
        <f>#REF!-N114</f>
        <v>#REF!</v>
      </c>
      <c r="AC114" s="77" t="e">
        <f>(#REF!+#REF!)-S114</f>
        <v>#REF!</v>
      </c>
      <c r="AD114" s="80" t="e">
        <f>AC114/(#REF!+#REF!)*100</f>
        <v>#REF!</v>
      </c>
      <c r="AG114" s="81" t="s">
        <v>248</v>
      </c>
      <c r="AH114" s="33" t="s">
        <v>34</v>
      </c>
    </row>
    <row r="115" spans="1:34" s="69" customFormat="1" ht="21" x14ac:dyDescent="0.3">
      <c r="A115" s="234">
        <v>113</v>
      </c>
      <c r="B115" s="82" t="s">
        <v>26</v>
      </c>
      <c r="C115" s="82" t="s">
        <v>244</v>
      </c>
      <c r="D115" s="83" t="s">
        <v>80</v>
      </c>
      <c r="E115" s="83" t="s">
        <v>29</v>
      </c>
      <c r="F115" s="84" t="s">
        <v>30</v>
      </c>
      <c r="G115" s="85"/>
      <c r="H115" s="86">
        <f t="shared" si="4"/>
        <v>1400.6999999999998</v>
      </c>
      <c r="I115" s="87"/>
      <c r="J115" s="88">
        <v>1101.0999999999999</v>
      </c>
      <c r="K115" s="89">
        <f t="shared" si="7"/>
        <v>1101.0999999999999</v>
      </c>
      <c r="L115" s="90">
        <v>108.8</v>
      </c>
      <c r="M115" s="90"/>
      <c r="N115" s="88">
        <v>258.7</v>
      </c>
      <c r="O115" s="91">
        <f t="shared" si="5"/>
        <v>190.79999999999998</v>
      </c>
      <c r="P115" s="88">
        <v>182.1</v>
      </c>
      <c r="Q115" s="88">
        <v>8.6999999999999993</v>
      </c>
      <c r="R115" s="88"/>
      <c r="S115" s="92">
        <f t="shared" si="6"/>
        <v>1209.8999999999999</v>
      </c>
      <c r="T115" s="93" t="s">
        <v>57</v>
      </c>
      <c r="U115" s="82" t="s">
        <v>246</v>
      </c>
      <c r="V115" s="83" t="s">
        <v>80</v>
      </c>
      <c r="W115" s="83" t="s">
        <v>29</v>
      </c>
      <c r="X115" s="82" t="s">
        <v>29</v>
      </c>
      <c r="Y115" s="94" t="e">
        <f>#REF!-H115</f>
        <v>#REF!</v>
      </c>
      <c r="Z115" s="95" t="e">
        <f>#REF!-J115</f>
        <v>#REF!</v>
      </c>
      <c r="AA115" s="96" t="e">
        <f>#REF!-L115</f>
        <v>#REF!</v>
      </c>
      <c r="AB115" s="95" t="e">
        <f>#REF!-N115</f>
        <v>#REF!</v>
      </c>
      <c r="AC115" s="94" t="e">
        <f>(#REF!+#REF!)-S115</f>
        <v>#REF!</v>
      </c>
      <c r="AD115" s="97" t="e">
        <f>AC115/(#REF!+#REF!)*100</f>
        <v>#REF!</v>
      </c>
      <c r="AE115" s="98"/>
      <c r="AF115" s="98"/>
      <c r="AG115" s="99"/>
      <c r="AH115" s="100" t="s">
        <v>249</v>
      </c>
    </row>
    <row r="116" spans="1:34" x14ac:dyDescent="0.3">
      <c r="A116" s="230">
        <v>114</v>
      </c>
      <c r="B116" s="34" t="s">
        <v>26</v>
      </c>
      <c r="C116" s="34" t="s">
        <v>244</v>
      </c>
      <c r="D116" s="35" t="s">
        <v>83</v>
      </c>
      <c r="E116" s="35" t="s">
        <v>29</v>
      </c>
      <c r="F116" s="36" t="s">
        <v>30</v>
      </c>
      <c r="G116" s="37" t="s">
        <v>31</v>
      </c>
      <c r="H116" s="105">
        <f t="shared" si="4"/>
        <v>3316.71</v>
      </c>
      <c r="I116" s="39"/>
      <c r="J116" s="40">
        <v>2266.79</v>
      </c>
      <c r="K116" s="41">
        <f t="shared" si="7"/>
        <v>2266.79</v>
      </c>
      <c r="L116" s="106">
        <f>341.22+76.8</f>
        <v>418.02000000000004</v>
      </c>
      <c r="M116" s="106">
        <v>76.8</v>
      </c>
      <c r="N116" s="40">
        <v>617</v>
      </c>
      <c r="O116" s="43">
        <f t="shared" si="5"/>
        <v>631.9</v>
      </c>
      <c r="P116" s="40">
        <v>577</v>
      </c>
      <c r="Q116" s="40">
        <v>16.399999999999999</v>
      </c>
      <c r="R116" s="40">
        <f>23.6+14.9</f>
        <v>38.5</v>
      </c>
      <c r="S116" s="44">
        <f t="shared" si="6"/>
        <v>2684.81</v>
      </c>
      <c r="T116" s="35" t="s">
        <v>250</v>
      </c>
      <c r="U116" s="70" t="s">
        <v>246</v>
      </c>
      <c r="V116" s="71" t="s">
        <v>83</v>
      </c>
      <c r="W116" s="71" t="s">
        <v>29</v>
      </c>
      <c r="X116" s="70" t="s">
        <v>29</v>
      </c>
      <c r="Y116" s="72" t="e">
        <f>#REF!-H116</f>
        <v>#REF!</v>
      </c>
      <c r="Z116" s="73" t="e">
        <f>#REF!-J116</f>
        <v>#REF!</v>
      </c>
      <c r="AA116" s="74" t="e">
        <f>#REF!-L116</f>
        <v>#REF!</v>
      </c>
      <c r="AB116" s="73" t="e">
        <f>#REF!-N116</f>
        <v>#REF!</v>
      </c>
      <c r="AC116" s="72" t="e">
        <f>(#REF!+#REF!)-S116</f>
        <v>#REF!</v>
      </c>
      <c r="AD116" s="50" t="e">
        <f>AC116/(#REF!+#REF!)*100</f>
        <v>#REF!</v>
      </c>
      <c r="AH116" s="33" t="s">
        <v>34</v>
      </c>
    </row>
    <row r="117" spans="1:34" s="69" customFormat="1" ht="21" x14ac:dyDescent="0.3">
      <c r="A117" s="233">
        <v>115</v>
      </c>
      <c r="B117" s="82" t="s">
        <v>26</v>
      </c>
      <c r="C117" s="82" t="s">
        <v>244</v>
      </c>
      <c r="D117" s="83" t="s">
        <v>85</v>
      </c>
      <c r="E117" s="83" t="s">
        <v>29</v>
      </c>
      <c r="F117" s="84" t="s">
        <v>30</v>
      </c>
      <c r="G117" s="85"/>
      <c r="H117" s="86">
        <f t="shared" si="4"/>
        <v>3487.8900000000003</v>
      </c>
      <c r="I117" s="87"/>
      <c r="J117" s="88">
        <v>2299.19</v>
      </c>
      <c r="K117" s="89">
        <f t="shared" si="7"/>
        <v>2299.19</v>
      </c>
      <c r="L117" s="90">
        <v>350.4</v>
      </c>
      <c r="M117" s="90">
        <v>243.6</v>
      </c>
      <c r="N117" s="88">
        <v>625.29999999999995</v>
      </c>
      <c r="O117" s="91">
        <f t="shared" si="5"/>
        <v>838.3</v>
      </c>
      <c r="P117" s="88">
        <v>302.10000000000002</v>
      </c>
      <c r="Q117" s="88">
        <v>71.7</v>
      </c>
      <c r="R117" s="88">
        <f>83.3+183.7+111.5+86</f>
        <v>464.5</v>
      </c>
      <c r="S117" s="92">
        <f t="shared" si="6"/>
        <v>2649.59</v>
      </c>
      <c r="T117" s="93" t="s">
        <v>57</v>
      </c>
      <c r="U117" s="82" t="s">
        <v>246</v>
      </c>
      <c r="V117" s="83" t="s">
        <v>85</v>
      </c>
      <c r="W117" s="83" t="s">
        <v>29</v>
      </c>
      <c r="X117" s="82" t="s">
        <v>29</v>
      </c>
      <c r="Y117" s="94" t="e">
        <f>#REF!-H117</f>
        <v>#REF!</v>
      </c>
      <c r="Z117" s="95" t="e">
        <f>#REF!-J117</f>
        <v>#REF!</v>
      </c>
      <c r="AA117" s="96" t="e">
        <f>#REF!-L117</f>
        <v>#REF!</v>
      </c>
      <c r="AB117" s="95" t="e">
        <f>#REF!-N117</f>
        <v>#REF!</v>
      </c>
      <c r="AC117" s="94" t="e">
        <f>(#REF!+#REF!)-S117</f>
        <v>#REF!</v>
      </c>
      <c r="AD117" s="97" t="e">
        <f>AC117/(#REF!+#REF!)*100</f>
        <v>#REF!</v>
      </c>
      <c r="AE117" s="98"/>
      <c r="AF117" s="98"/>
      <c r="AG117" s="99"/>
      <c r="AH117" s="100" t="s">
        <v>58</v>
      </c>
    </row>
    <row r="118" spans="1:34" s="69" customFormat="1" x14ac:dyDescent="0.3">
      <c r="A118" s="101">
        <v>116</v>
      </c>
      <c r="B118" s="34" t="s">
        <v>26</v>
      </c>
      <c r="C118" s="34" t="s">
        <v>244</v>
      </c>
      <c r="D118" s="35" t="s">
        <v>195</v>
      </c>
      <c r="E118" s="35" t="s">
        <v>29</v>
      </c>
      <c r="F118" s="36" t="s">
        <v>30</v>
      </c>
      <c r="G118" s="37" t="s">
        <v>31</v>
      </c>
      <c r="H118" s="38">
        <f t="shared" si="4"/>
        <v>2883.79</v>
      </c>
      <c r="I118" s="39"/>
      <c r="J118" s="40">
        <v>2494.89</v>
      </c>
      <c r="K118" s="41">
        <f t="shared" si="7"/>
        <v>2494.89</v>
      </c>
      <c r="L118" s="42">
        <v>0</v>
      </c>
      <c r="M118" s="42"/>
      <c r="N118" s="40">
        <v>388.9</v>
      </c>
      <c r="O118" s="43">
        <f t="shared" si="5"/>
        <v>388.9</v>
      </c>
      <c r="P118" s="40">
        <v>335.2</v>
      </c>
      <c r="Q118" s="40">
        <v>53.7</v>
      </c>
      <c r="R118" s="40"/>
      <c r="S118" s="76">
        <f t="shared" si="6"/>
        <v>2494.89</v>
      </c>
      <c r="T118" s="35" t="s">
        <v>251</v>
      </c>
      <c r="U118" s="34" t="s">
        <v>246</v>
      </c>
      <c r="V118" s="35" t="s">
        <v>195</v>
      </c>
      <c r="W118" s="35" t="s">
        <v>29</v>
      </c>
      <c r="X118" s="34" t="s">
        <v>29</v>
      </c>
      <c r="Y118" s="77" t="e">
        <f>#REF!-H118</f>
        <v>#REF!</v>
      </c>
      <c r="Z118" s="78" t="e">
        <f>#REF!-J118</f>
        <v>#REF!</v>
      </c>
      <c r="AA118" s="79" t="e">
        <f>#REF!-L118</f>
        <v>#REF!</v>
      </c>
      <c r="AB118" s="78" t="e">
        <f>#REF!-N118</f>
        <v>#REF!</v>
      </c>
      <c r="AC118" s="77" t="e">
        <f>(#REF!+#REF!)-S118</f>
        <v>#REF!</v>
      </c>
      <c r="AD118" s="80" t="e">
        <f>AC118/(#REF!+#REF!)*100</f>
        <v>#REF!</v>
      </c>
      <c r="AG118" s="81"/>
      <c r="AH118" s="33" t="s">
        <v>34</v>
      </c>
    </row>
    <row r="119" spans="1:34" s="69" customFormat="1" x14ac:dyDescent="0.3">
      <c r="A119" s="75">
        <v>117</v>
      </c>
      <c r="B119" s="34" t="s">
        <v>26</v>
      </c>
      <c r="C119" s="110" t="s">
        <v>244</v>
      </c>
      <c r="D119" s="111" t="s">
        <v>100</v>
      </c>
      <c r="E119" s="111" t="s">
        <v>29</v>
      </c>
      <c r="F119" s="36" t="s">
        <v>30</v>
      </c>
      <c r="G119" s="37"/>
      <c r="H119" s="38">
        <f t="shared" si="4"/>
        <v>6210.3499999999995</v>
      </c>
      <c r="I119" s="39">
        <v>0</v>
      </c>
      <c r="J119" s="40">
        <v>4827.1499999999996</v>
      </c>
      <c r="K119" s="41">
        <f t="shared" si="7"/>
        <v>4827.1499999999996</v>
      </c>
      <c r="L119" s="42">
        <v>722.2</v>
      </c>
      <c r="M119" s="42"/>
      <c r="N119" s="40">
        <v>661</v>
      </c>
      <c r="O119" s="43">
        <f t="shared" si="5"/>
        <v>661</v>
      </c>
      <c r="P119" s="40">
        <v>578</v>
      </c>
      <c r="Q119" s="40">
        <v>39.200000000000003</v>
      </c>
      <c r="R119" s="40">
        <v>43.8</v>
      </c>
      <c r="S119" s="76">
        <f t="shared" si="6"/>
        <v>5549.3499999999995</v>
      </c>
      <c r="T119" s="35" t="s">
        <v>252</v>
      </c>
      <c r="U119" s="34" t="s">
        <v>246</v>
      </c>
      <c r="V119" s="35" t="s">
        <v>100</v>
      </c>
      <c r="W119" s="35" t="s">
        <v>29</v>
      </c>
      <c r="X119" s="34" t="s">
        <v>29</v>
      </c>
      <c r="Y119" s="77" t="e">
        <f>#REF!-H119</f>
        <v>#REF!</v>
      </c>
      <c r="Z119" s="78" t="e">
        <f>#REF!-J119</f>
        <v>#REF!</v>
      </c>
      <c r="AA119" s="79" t="e">
        <f>#REF!-L119</f>
        <v>#REF!</v>
      </c>
      <c r="AB119" s="78" t="e">
        <f>#REF!-N119</f>
        <v>#REF!</v>
      </c>
      <c r="AC119" s="77" t="e">
        <f>(#REF!+#REF!)-S119</f>
        <v>#REF!</v>
      </c>
      <c r="AD119" s="80" t="e">
        <f>AC119/(#REF!+#REF!)*100</f>
        <v>#REF!</v>
      </c>
      <c r="AG119" s="81"/>
      <c r="AH119" s="33" t="s">
        <v>34</v>
      </c>
    </row>
    <row r="120" spans="1:34" s="69" customFormat="1" x14ac:dyDescent="0.3">
      <c r="A120" s="75">
        <v>118</v>
      </c>
      <c r="B120" s="34" t="s">
        <v>26</v>
      </c>
      <c r="C120" s="110" t="s">
        <v>244</v>
      </c>
      <c r="D120" s="111" t="s">
        <v>105</v>
      </c>
      <c r="E120" s="111" t="s">
        <v>29</v>
      </c>
      <c r="F120" s="36" t="s">
        <v>30</v>
      </c>
      <c r="G120" s="37" t="s">
        <v>31</v>
      </c>
      <c r="H120" s="38">
        <f t="shared" si="4"/>
        <v>679.49701575947245</v>
      </c>
      <c r="I120" s="39"/>
      <c r="J120" s="40">
        <v>535.08000000000004</v>
      </c>
      <c r="K120" s="41">
        <f t="shared" si="7"/>
        <v>535.08000000000004</v>
      </c>
      <c r="L120" s="42">
        <v>0</v>
      </c>
      <c r="M120" s="42"/>
      <c r="N120" s="40">
        <v>161.19</v>
      </c>
      <c r="O120" s="43">
        <f t="shared" si="5"/>
        <v>144.41701575947243</v>
      </c>
      <c r="P120" s="41">
        <f>551*AE120</f>
        <v>99.268682239856929</v>
      </c>
      <c r="Q120" s="41">
        <f>250.6*AE120</f>
        <v>45.148333519615512</v>
      </c>
      <c r="R120" s="41"/>
      <c r="S120" s="76">
        <f t="shared" si="6"/>
        <v>535.08000000000004</v>
      </c>
      <c r="T120" s="35" t="s">
        <v>253</v>
      </c>
      <c r="U120" s="34" t="s">
        <v>246</v>
      </c>
      <c r="V120" s="35" t="s">
        <v>254</v>
      </c>
      <c r="W120" s="35" t="s">
        <v>170</v>
      </c>
      <c r="X120" s="34" t="s">
        <v>29</v>
      </c>
      <c r="Y120" s="77" t="e">
        <f>#REF!-H120</f>
        <v>#REF!</v>
      </c>
      <c r="Z120" s="78" t="e">
        <f>#REF!-J120</f>
        <v>#REF!</v>
      </c>
      <c r="AA120" s="79" t="e">
        <f>#REF!-L120</f>
        <v>#REF!</v>
      </c>
      <c r="AB120" s="78" t="e">
        <f>#REF!-N120</f>
        <v>#REF!</v>
      </c>
      <c r="AC120" s="77" t="e">
        <f>(#REF!+#REF!)-S120</f>
        <v>#REF!</v>
      </c>
      <c r="AD120" s="80" t="e">
        <f>AC120/(#REF!+#REF!)*100</f>
        <v>#REF!</v>
      </c>
      <c r="AE120" s="69">
        <f>N120/894.7</f>
        <v>0.1801609478037331</v>
      </c>
      <c r="AF120" s="69">
        <v>894.7</v>
      </c>
      <c r="AG120" s="81"/>
      <c r="AH120" s="33" t="s">
        <v>34</v>
      </c>
    </row>
    <row r="121" spans="1:34" s="69" customFormat="1" x14ac:dyDescent="0.3">
      <c r="A121" s="101">
        <v>119</v>
      </c>
      <c r="B121" s="34" t="s">
        <v>26</v>
      </c>
      <c r="C121" s="110" t="s">
        <v>244</v>
      </c>
      <c r="D121" s="111" t="s">
        <v>105</v>
      </c>
      <c r="E121" s="111" t="s">
        <v>29</v>
      </c>
      <c r="F121" s="36" t="s">
        <v>30</v>
      </c>
      <c r="G121" s="37" t="s">
        <v>31</v>
      </c>
      <c r="H121" s="38">
        <f t="shared" si="4"/>
        <v>3497.2513177601431</v>
      </c>
      <c r="I121" s="39">
        <v>20.84</v>
      </c>
      <c r="J121" s="40">
        <f>2434.92-3.7-20.84</f>
        <v>2410.38</v>
      </c>
      <c r="K121" s="41">
        <f t="shared" si="7"/>
        <v>2431.2200000000003</v>
      </c>
      <c r="L121" s="42">
        <v>363.5</v>
      </c>
      <c r="M121" s="42"/>
      <c r="N121" s="40">
        <v>733.51</v>
      </c>
      <c r="O121" s="43">
        <f t="shared" si="5"/>
        <v>702.53131776014311</v>
      </c>
      <c r="P121" s="41">
        <f>551*AE121</f>
        <v>451.73131776014304</v>
      </c>
      <c r="Q121" s="41">
        <v>250.8</v>
      </c>
      <c r="R121" s="41"/>
      <c r="S121" s="76">
        <f t="shared" si="6"/>
        <v>2794.7200000000003</v>
      </c>
      <c r="T121" s="35" t="s">
        <v>255</v>
      </c>
      <c r="U121" s="34" t="s">
        <v>246</v>
      </c>
      <c r="V121" s="35" t="s">
        <v>105</v>
      </c>
      <c r="W121" s="35" t="s">
        <v>29</v>
      </c>
      <c r="X121" s="34" t="s">
        <v>29</v>
      </c>
      <c r="Y121" s="77" t="e">
        <f>#REF!-H121</f>
        <v>#REF!</v>
      </c>
      <c r="Z121" s="78" t="e">
        <f>#REF!-J121</f>
        <v>#REF!</v>
      </c>
      <c r="AA121" s="79" t="e">
        <f>#REF!-L121</f>
        <v>#REF!</v>
      </c>
      <c r="AB121" s="78" t="e">
        <f>#REF!-N121</f>
        <v>#REF!</v>
      </c>
      <c r="AC121" s="77" t="e">
        <f>(#REF!+#REF!)-S121</f>
        <v>#REF!</v>
      </c>
      <c r="AD121" s="80" t="e">
        <f>AC121/(#REF!+#REF!)*100</f>
        <v>#REF!</v>
      </c>
      <c r="AE121" s="69">
        <f>N121/894.7</f>
        <v>0.81983905219626685</v>
      </c>
      <c r="AG121" s="81"/>
      <c r="AH121" s="33" t="s">
        <v>34</v>
      </c>
    </row>
    <row r="122" spans="1:34" s="69" customFormat="1" x14ac:dyDescent="0.3">
      <c r="A122" s="75">
        <v>120</v>
      </c>
      <c r="B122" s="34" t="s">
        <v>26</v>
      </c>
      <c r="C122" s="34" t="s">
        <v>244</v>
      </c>
      <c r="D122" s="35" t="s">
        <v>105</v>
      </c>
      <c r="E122" s="35" t="s">
        <v>161</v>
      </c>
      <c r="F122" s="36" t="s">
        <v>30</v>
      </c>
      <c r="G122" s="37" t="s">
        <v>31</v>
      </c>
      <c r="H122" s="38">
        <f t="shared" si="4"/>
        <v>3584.32</v>
      </c>
      <c r="I122" s="39"/>
      <c r="J122" s="40">
        <v>3104.82</v>
      </c>
      <c r="K122" s="41">
        <f t="shared" si="7"/>
        <v>3104.82</v>
      </c>
      <c r="L122" s="42">
        <v>0</v>
      </c>
      <c r="M122" s="42"/>
      <c r="N122" s="40">
        <v>479.5</v>
      </c>
      <c r="O122" s="43">
        <f t="shared" si="5"/>
        <v>479.5</v>
      </c>
      <c r="P122" s="40">
        <v>432</v>
      </c>
      <c r="Q122" s="40">
        <v>47.5</v>
      </c>
      <c r="R122" s="40"/>
      <c r="S122" s="76">
        <f t="shared" si="6"/>
        <v>3104.82</v>
      </c>
      <c r="T122" s="35" t="s">
        <v>256</v>
      </c>
      <c r="U122" s="34" t="s">
        <v>246</v>
      </c>
      <c r="V122" s="35" t="s">
        <v>105</v>
      </c>
      <c r="W122" s="35" t="s">
        <v>161</v>
      </c>
      <c r="X122" s="34" t="s">
        <v>29</v>
      </c>
      <c r="Y122" s="77" t="e">
        <f>#REF!-H122</f>
        <v>#REF!</v>
      </c>
      <c r="Z122" s="78" t="e">
        <f>#REF!-J122</f>
        <v>#REF!</v>
      </c>
      <c r="AA122" s="79" t="e">
        <f>#REF!-L122</f>
        <v>#REF!</v>
      </c>
      <c r="AB122" s="78" t="e">
        <f>#REF!-N122</f>
        <v>#REF!</v>
      </c>
      <c r="AC122" s="77" t="e">
        <f>(#REF!+#REF!)-S122</f>
        <v>#REF!</v>
      </c>
      <c r="AD122" s="80" t="e">
        <f>AC122/(#REF!+#REF!)*100</f>
        <v>#REF!</v>
      </c>
      <c r="AG122" s="81"/>
      <c r="AH122" s="33" t="s">
        <v>34</v>
      </c>
    </row>
    <row r="123" spans="1:34" s="69" customFormat="1" x14ac:dyDescent="0.3">
      <c r="A123" s="75">
        <v>121</v>
      </c>
      <c r="B123" s="34" t="s">
        <v>257</v>
      </c>
      <c r="C123" s="34" t="s">
        <v>244</v>
      </c>
      <c r="D123" s="35" t="s">
        <v>258</v>
      </c>
      <c r="E123" s="35" t="s">
        <v>29</v>
      </c>
      <c r="F123" s="36" t="s">
        <v>43</v>
      </c>
      <c r="G123" s="37"/>
      <c r="H123" s="38">
        <f t="shared" si="4"/>
        <v>2130.42</v>
      </c>
      <c r="I123" s="39"/>
      <c r="J123" s="40">
        <v>1919.32</v>
      </c>
      <c r="K123" s="41">
        <f t="shared" si="7"/>
        <v>1919.32</v>
      </c>
      <c r="L123" s="42">
        <f>53.5+16.3</f>
        <v>69.8</v>
      </c>
      <c r="M123" s="42">
        <v>16.3</v>
      </c>
      <c r="N123" s="40">
        <v>157.88999999999999</v>
      </c>
      <c r="O123" s="43">
        <f t="shared" si="5"/>
        <v>141.30000000000001</v>
      </c>
      <c r="P123" s="40">
        <v>141.30000000000001</v>
      </c>
      <c r="Q123" s="40"/>
      <c r="R123" s="40"/>
      <c r="S123" s="76">
        <f t="shared" si="6"/>
        <v>1989.12</v>
      </c>
      <c r="T123" s="35" t="s">
        <v>259</v>
      </c>
      <c r="U123" s="34" t="s">
        <v>246</v>
      </c>
      <c r="V123" s="35" t="s">
        <v>258</v>
      </c>
      <c r="W123" s="35" t="s">
        <v>29</v>
      </c>
      <c r="X123" s="34" t="s">
        <v>29</v>
      </c>
      <c r="Y123" s="77" t="e">
        <f>#REF!-H123</f>
        <v>#REF!</v>
      </c>
      <c r="Z123" s="78" t="e">
        <f>#REF!-J123</f>
        <v>#REF!</v>
      </c>
      <c r="AA123" s="79" t="e">
        <f>#REF!-L123</f>
        <v>#REF!</v>
      </c>
      <c r="AB123" s="78" t="e">
        <f>#REF!-N123</f>
        <v>#REF!</v>
      </c>
      <c r="AC123" s="77" t="e">
        <f>(#REF!+#REF!)-S123</f>
        <v>#REF!</v>
      </c>
      <c r="AD123" s="80" t="e">
        <f>AC123/(#REF!+#REF!)*100</f>
        <v>#REF!</v>
      </c>
      <c r="AG123" s="81"/>
      <c r="AH123" s="33" t="s">
        <v>34</v>
      </c>
    </row>
    <row r="124" spans="1:34" x14ac:dyDescent="0.3">
      <c r="A124" s="232">
        <v>122</v>
      </c>
      <c r="B124" s="34" t="s">
        <v>26</v>
      </c>
      <c r="C124" s="34" t="s">
        <v>244</v>
      </c>
      <c r="D124" s="35" t="s">
        <v>198</v>
      </c>
      <c r="E124" s="35" t="s">
        <v>29</v>
      </c>
      <c r="F124" s="36" t="s">
        <v>30</v>
      </c>
      <c r="G124" s="37" t="s">
        <v>31</v>
      </c>
      <c r="H124" s="38">
        <f t="shared" si="4"/>
        <v>3474.9</v>
      </c>
      <c r="I124" s="39"/>
      <c r="J124" s="40">
        <v>2130</v>
      </c>
      <c r="K124" s="41">
        <f t="shared" si="7"/>
        <v>2130</v>
      </c>
      <c r="L124" s="42">
        <f>925.3-1.4</f>
        <v>923.9</v>
      </c>
      <c r="M124" s="42"/>
      <c r="N124" s="42">
        <v>419</v>
      </c>
      <c r="O124" s="43">
        <f t="shared" si="5"/>
        <v>421</v>
      </c>
      <c r="P124" s="42">
        <v>301.5</v>
      </c>
      <c r="Q124" s="42">
        <v>38.5</v>
      </c>
      <c r="R124" s="42">
        <v>81</v>
      </c>
      <c r="S124" s="44">
        <f t="shared" si="6"/>
        <v>3053.9</v>
      </c>
      <c r="T124" s="35" t="s">
        <v>260</v>
      </c>
      <c r="U124" s="70" t="s">
        <v>246</v>
      </c>
      <c r="V124" s="71" t="s">
        <v>198</v>
      </c>
      <c r="W124" s="71" t="s">
        <v>29</v>
      </c>
      <c r="X124" s="70" t="s">
        <v>29</v>
      </c>
      <c r="Y124" s="72" t="e">
        <f>#REF!-H124</f>
        <v>#REF!</v>
      </c>
      <c r="Z124" s="73" t="e">
        <f>#REF!-J124</f>
        <v>#REF!</v>
      </c>
      <c r="AA124" s="74" t="e">
        <f>#REF!-L124</f>
        <v>#REF!</v>
      </c>
      <c r="AB124" s="73" t="e">
        <f>#REF!-N124</f>
        <v>#REF!</v>
      </c>
      <c r="AC124" s="72" t="e">
        <f>(#REF!+#REF!)-S124</f>
        <v>#REF!</v>
      </c>
      <c r="AD124" s="50" t="e">
        <f>AC124/(#REF!+#REF!)*100</f>
        <v>#REF!</v>
      </c>
      <c r="AH124" s="33" t="s">
        <v>34</v>
      </c>
    </row>
    <row r="125" spans="1:34" x14ac:dyDescent="0.3">
      <c r="A125" s="230">
        <v>123</v>
      </c>
      <c r="B125" s="34" t="s">
        <v>26</v>
      </c>
      <c r="C125" s="34" t="s">
        <v>244</v>
      </c>
      <c r="D125" s="35" t="s">
        <v>198</v>
      </c>
      <c r="E125" s="35" t="s">
        <v>29</v>
      </c>
      <c r="F125" s="36" t="s">
        <v>43</v>
      </c>
      <c r="G125" s="37" t="s">
        <v>31</v>
      </c>
      <c r="H125" s="38">
        <f t="shared" si="4"/>
        <v>5120.4100000000008</v>
      </c>
      <c r="I125" s="39"/>
      <c r="J125" s="40">
        <v>3643.71</v>
      </c>
      <c r="K125" s="41">
        <f t="shared" si="7"/>
        <v>3643.71</v>
      </c>
      <c r="L125" s="42">
        <v>944.1</v>
      </c>
      <c r="M125" s="42"/>
      <c r="N125" s="42">
        <v>512.9</v>
      </c>
      <c r="O125" s="43">
        <f t="shared" si="5"/>
        <v>532.6</v>
      </c>
      <c r="P125" s="42">
        <v>456.5</v>
      </c>
      <c r="Q125" s="42">
        <v>76.099999999999994</v>
      </c>
      <c r="R125" s="42"/>
      <c r="S125" s="44">
        <f t="shared" si="6"/>
        <v>4587.8100000000004</v>
      </c>
      <c r="T125" s="35" t="s">
        <v>261</v>
      </c>
      <c r="U125" s="70" t="s">
        <v>246</v>
      </c>
      <c r="V125" s="71" t="s">
        <v>198</v>
      </c>
      <c r="W125" s="71" t="s">
        <v>29</v>
      </c>
      <c r="X125" s="70" t="s">
        <v>29</v>
      </c>
      <c r="Y125" s="72" t="e">
        <f>#REF!-H125</f>
        <v>#REF!</v>
      </c>
      <c r="Z125" s="73" t="e">
        <f>#REF!-J125</f>
        <v>#REF!</v>
      </c>
      <c r="AA125" s="74" t="e">
        <f>#REF!-L125</f>
        <v>#REF!</v>
      </c>
      <c r="AB125" s="73" t="e">
        <f>#REF!-N125</f>
        <v>#REF!</v>
      </c>
      <c r="AC125" s="72" t="e">
        <f>(#REF!+#REF!)-S125</f>
        <v>#REF!</v>
      </c>
      <c r="AD125" s="50" t="e">
        <f>AC125/(#REF!+#REF!)*100</f>
        <v>#REF!</v>
      </c>
      <c r="AH125" s="33" t="s">
        <v>34</v>
      </c>
    </row>
    <row r="126" spans="1:34" x14ac:dyDescent="0.3">
      <c r="A126" s="230">
        <v>124</v>
      </c>
      <c r="B126" s="34" t="s">
        <v>26</v>
      </c>
      <c r="C126" s="34" t="s">
        <v>244</v>
      </c>
      <c r="D126" s="35" t="s">
        <v>202</v>
      </c>
      <c r="E126" s="35" t="s">
        <v>262</v>
      </c>
      <c r="F126" s="36" t="s">
        <v>30</v>
      </c>
      <c r="G126" s="37" t="s">
        <v>31</v>
      </c>
      <c r="H126" s="38">
        <f t="shared" si="4"/>
        <v>2406.5317558404768</v>
      </c>
      <c r="I126" s="39">
        <v>153.30000000000001</v>
      </c>
      <c r="J126" s="40">
        <f>558.13-152.9</f>
        <v>405.23</v>
      </c>
      <c r="K126" s="41">
        <f t="shared" si="7"/>
        <v>558.53</v>
      </c>
      <c r="L126" s="42">
        <v>1694.9</v>
      </c>
      <c r="M126" s="42"/>
      <c r="N126" s="40">
        <v>233.22</v>
      </c>
      <c r="O126" s="43">
        <f t="shared" si="5"/>
        <v>153.10175584047664</v>
      </c>
      <c r="P126" s="41">
        <f>2819.8*AE126</f>
        <v>136.99133557613192</v>
      </c>
      <c r="Q126" s="42">
        <f>176*AE126</f>
        <v>8.5504202643447105</v>
      </c>
      <c r="R126" s="41">
        <v>7.56</v>
      </c>
      <c r="S126" s="44">
        <f t="shared" si="6"/>
        <v>2253.4300000000003</v>
      </c>
      <c r="T126" s="35" t="s">
        <v>263</v>
      </c>
      <c r="U126" s="45" t="s">
        <v>246</v>
      </c>
      <c r="V126" s="46" t="s">
        <v>202</v>
      </c>
      <c r="W126" s="46" t="s">
        <v>170</v>
      </c>
      <c r="X126" s="45" t="s">
        <v>29</v>
      </c>
      <c r="Y126" s="72" t="e">
        <f>#REF!-H126</f>
        <v>#REF!</v>
      </c>
      <c r="Z126" s="73" t="e">
        <f>#REF!-J126</f>
        <v>#REF!</v>
      </c>
      <c r="AA126" s="74" t="e">
        <f>#REF!-L126</f>
        <v>#REF!</v>
      </c>
      <c r="AB126" s="73" t="e">
        <f>#REF!-N126</f>
        <v>#REF!</v>
      </c>
      <c r="AC126" s="72" t="e">
        <f>(#REF!+#REF!)-S126</f>
        <v>#REF!</v>
      </c>
      <c r="AD126" s="50" t="e">
        <f>AC126/(#REF!+#REF!)*100</f>
        <v>#REF!</v>
      </c>
      <c r="AE126" s="7">
        <f>N126/4800.55</f>
        <v>4.8581933320140401E-2</v>
      </c>
      <c r="AF126" s="7">
        <v>4800.55</v>
      </c>
      <c r="AH126" s="33" t="s">
        <v>34</v>
      </c>
    </row>
    <row r="127" spans="1:34" x14ac:dyDescent="0.3">
      <c r="A127" s="232">
        <v>125</v>
      </c>
      <c r="B127" s="34" t="s">
        <v>26</v>
      </c>
      <c r="C127" s="34" t="s">
        <v>244</v>
      </c>
      <c r="D127" s="35" t="s">
        <v>202</v>
      </c>
      <c r="E127" s="35" t="s">
        <v>29</v>
      </c>
      <c r="F127" s="36" t="s">
        <v>30</v>
      </c>
      <c r="G127" s="37" t="s">
        <v>31</v>
      </c>
      <c r="H127" s="105">
        <f t="shared" si="4"/>
        <v>17292.116781827084</v>
      </c>
      <c r="I127" s="39"/>
      <c r="J127" s="40">
        <f>13637.03</f>
        <v>13637.03</v>
      </c>
      <c r="K127" s="41">
        <f t="shared" si="7"/>
        <v>13637.03</v>
      </c>
      <c r="L127" s="106">
        <f>1019.65+191.4+98+79.9-191.4</f>
        <v>1197.55</v>
      </c>
      <c r="M127" s="106">
        <f>98+79.9</f>
        <v>177.9</v>
      </c>
      <c r="N127" s="40">
        <f>4132.31</f>
        <v>4132.3100000000004</v>
      </c>
      <c r="O127" s="43">
        <f t="shared" si="5"/>
        <v>2457.5367818270825</v>
      </c>
      <c r="P127" s="41">
        <f>2819.8*AE127-467.4</f>
        <v>1959.8818193748634</v>
      </c>
      <c r="Q127" s="42">
        <f>176*AE127+17</f>
        <v>168.50067388111779</v>
      </c>
      <c r="R127" s="41">
        <f>155.5*AE127+3.9+191.4</f>
        <v>329.15428857110123</v>
      </c>
      <c r="S127" s="44">
        <f t="shared" si="6"/>
        <v>14834.58</v>
      </c>
      <c r="T127" s="35" t="s">
        <v>264</v>
      </c>
      <c r="U127" s="45" t="s">
        <v>246</v>
      </c>
      <c r="V127" s="46" t="s">
        <v>202</v>
      </c>
      <c r="W127" s="46" t="s">
        <v>29</v>
      </c>
      <c r="X127" s="45" t="s">
        <v>29</v>
      </c>
      <c r="Y127" s="72" t="e">
        <f>#REF!-H127</f>
        <v>#REF!</v>
      </c>
      <c r="Z127" s="73" t="e">
        <f>#REF!-J127</f>
        <v>#REF!</v>
      </c>
      <c r="AA127" s="74" t="e">
        <f>#REF!-L127</f>
        <v>#REF!</v>
      </c>
      <c r="AB127" s="73" t="e">
        <f>#REF!-N127</f>
        <v>#REF!</v>
      </c>
      <c r="AC127" s="72" t="e">
        <f>(#REF!+#REF!)-S127</f>
        <v>#REF!</v>
      </c>
      <c r="AD127" s="50" t="e">
        <f>AC127/(#REF!+#REF!)*100</f>
        <v>#REF!</v>
      </c>
      <c r="AE127" s="7">
        <f>N127/4800.55</f>
        <v>0.86079928341544198</v>
      </c>
      <c r="AH127" s="33" t="s">
        <v>34</v>
      </c>
    </row>
    <row r="128" spans="1:34" x14ac:dyDescent="0.3">
      <c r="A128" s="230">
        <v>126</v>
      </c>
      <c r="B128" s="34" t="s">
        <v>26</v>
      </c>
      <c r="C128" s="34" t="s">
        <v>244</v>
      </c>
      <c r="D128" s="35" t="s">
        <v>202</v>
      </c>
      <c r="E128" s="35" t="s">
        <v>29</v>
      </c>
      <c r="F128" s="36" t="s">
        <v>30</v>
      </c>
      <c r="G128" s="37" t="s">
        <v>31</v>
      </c>
      <c r="H128" s="38">
        <f t="shared" si="4"/>
        <v>1761.3669717011592</v>
      </c>
      <c r="I128" s="39"/>
      <c r="J128" s="40">
        <v>1475.8</v>
      </c>
      <c r="K128" s="41">
        <f t="shared" si="7"/>
        <v>1475.8</v>
      </c>
      <c r="L128" s="42">
        <v>0</v>
      </c>
      <c r="M128" s="42"/>
      <c r="N128" s="40">
        <v>435.02</v>
      </c>
      <c r="O128" s="43">
        <f t="shared" si="5"/>
        <v>285.56697170115922</v>
      </c>
      <c r="P128" s="41">
        <f>2819.8*AE128</f>
        <v>255.52684504900478</v>
      </c>
      <c r="Q128" s="42">
        <f>176*AE128</f>
        <v>15.948905854537498</v>
      </c>
      <c r="R128" s="41">
        <f>155.5*AE128</f>
        <v>14.091220797616938</v>
      </c>
      <c r="S128" s="44">
        <f t="shared" si="6"/>
        <v>1475.8</v>
      </c>
      <c r="T128" s="35" t="s">
        <v>265</v>
      </c>
      <c r="U128" s="45" t="s">
        <v>246</v>
      </c>
      <c r="V128" s="46" t="s">
        <v>266</v>
      </c>
      <c r="W128" s="46" t="s">
        <v>173</v>
      </c>
      <c r="X128" s="45" t="s">
        <v>29</v>
      </c>
      <c r="Y128" s="72" t="e">
        <f>#REF!-H128</f>
        <v>#REF!</v>
      </c>
      <c r="Z128" s="73" t="e">
        <f>#REF!-J128</f>
        <v>#REF!</v>
      </c>
      <c r="AA128" s="74" t="e">
        <f>#REF!-L128</f>
        <v>#REF!</v>
      </c>
      <c r="AB128" s="73" t="e">
        <f>#REF!-N128</f>
        <v>#REF!</v>
      </c>
      <c r="AC128" s="72" t="e">
        <f>(#REF!+#REF!)-S128</f>
        <v>#REF!</v>
      </c>
      <c r="AD128" s="50" t="e">
        <f>AC128/(#REF!+#REF!)*100</f>
        <v>#REF!</v>
      </c>
      <c r="AE128" s="7">
        <f>N128/4800.55</f>
        <v>9.0618783264417607E-2</v>
      </c>
      <c r="AH128" s="33" t="s">
        <v>34</v>
      </c>
    </row>
    <row r="129" spans="1:34" x14ac:dyDescent="0.3">
      <c r="A129" s="230">
        <v>127</v>
      </c>
      <c r="B129" s="34" t="s">
        <v>26</v>
      </c>
      <c r="C129" s="34" t="s">
        <v>244</v>
      </c>
      <c r="D129" s="35" t="s">
        <v>205</v>
      </c>
      <c r="E129" s="35" t="s">
        <v>29</v>
      </c>
      <c r="F129" s="36" t="s">
        <v>30</v>
      </c>
      <c r="G129" s="37" t="s">
        <v>31</v>
      </c>
      <c r="H129" s="105">
        <f t="shared" si="4"/>
        <v>10414.17</v>
      </c>
      <c r="I129" s="39">
        <v>28.21</v>
      </c>
      <c r="J129" s="40">
        <v>7221.56</v>
      </c>
      <c r="K129" s="41">
        <f t="shared" si="7"/>
        <v>7249.77</v>
      </c>
      <c r="L129" s="106">
        <f>1760.7+91.5</f>
        <v>1852.2</v>
      </c>
      <c r="M129" s="106">
        <v>91.5</v>
      </c>
      <c r="N129" s="40">
        <v>1042.79</v>
      </c>
      <c r="O129" s="43">
        <f t="shared" si="5"/>
        <v>1312.2</v>
      </c>
      <c r="P129" s="40">
        <v>958</v>
      </c>
      <c r="Q129" s="40">
        <f>37.6+70.6</f>
        <v>108.19999999999999</v>
      </c>
      <c r="R129" s="40">
        <v>246</v>
      </c>
      <c r="S129" s="44">
        <f t="shared" si="6"/>
        <v>9101.9699999999993</v>
      </c>
      <c r="T129" s="35" t="s">
        <v>267</v>
      </c>
      <c r="U129" s="70" t="s">
        <v>246</v>
      </c>
      <c r="V129" s="71" t="s">
        <v>205</v>
      </c>
      <c r="W129" s="71" t="s">
        <v>29</v>
      </c>
      <c r="X129" s="70" t="s">
        <v>29</v>
      </c>
      <c r="Y129" s="72" t="e">
        <f>#REF!-H129</f>
        <v>#REF!</v>
      </c>
      <c r="Z129" s="73" t="e">
        <f>#REF!-J129</f>
        <v>#REF!</v>
      </c>
      <c r="AA129" s="74" t="e">
        <f>#REF!-L129</f>
        <v>#REF!</v>
      </c>
      <c r="AB129" s="73" t="e">
        <f>#REF!-N129</f>
        <v>#REF!</v>
      </c>
      <c r="AC129" s="72" t="e">
        <f>(#REF!+#REF!)-S129</f>
        <v>#REF!</v>
      </c>
      <c r="AD129" s="50" t="e">
        <f>AC129/(#REF!+#REF!)*100</f>
        <v>#REF!</v>
      </c>
      <c r="AH129" s="33" t="s">
        <v>34</v>
      </c>
    </row>
    <row r="130" spans="1:34" x14ac:dyDescent="0.3">
      <c r="A130" s="232">
        <v>128</v>
      </c>
      <c r="B130" s="34" t="s">
        <v>26</v>
      </c>
      <c r="C130" s="34" t="s">
        <v>244</v>
      </c>
      <c r="D130" s="35" t="s">
        <v>268</v>
      </c>
      <c r="E130" s="35" t="s">
        <v>29</v>
      </c>
      <c r="F130" s="36" t="s">
        <v>30</v>
      </c>
      <c r="G130" s="37"/>
      <c r="H130" s="38">
        <f t="shared" si="4"/>
        <v>6502.16</v>
      </c>
      <c r="I130" s="39"/>
      <c r="J130" s="40">
        <v>4221.46</v>
      </c>
      <c r="K130" s="41">
        <f t="shared" si="7"/>
        <v>4221.46</v>
      </c>
      <c r="L130" s="42">
        <f>1384.1+116+7.5</f>
        <v>1507.6</v>
      </c>
      <c r="M130" s="42">
        <v>116</v>
      </c>
      <c r="N130" s="40">
        <v>624</v>
      </c>
      <c r="O130" s="43">
        <f t="shared" si="5"/>
        <v>773.1</v>
      </c>
      <c r="P130" s="40">
        <v>624</v>
      </c>
      <c r="Q130" s="40"/>
      <c r="R130" s="40">
        <v>149.1</v>
      </c>
      <c r="S130" s="44">
        <f t="shared" si="6"/>
        <v>5729.0599999999995</v>
      </c>
      <c r="T130" s="35" t="s">
        <v>269</v>
      </c>
      <c r="U130" s="70" t="s">
        <v>246</v>
      </c>
      <c r="V130" s="71" t="s">
        <v>268</v>
      </c>
      <c r="W130" s="71" t="s">
        <v>29</v>
      </c>
      <c r="X130" s="70" t="s">
        <v>29</v>
      </c>
      <c r="Y130" s="72" t="e">
        <f>#REF!-H130</f>
        <v>#REF!</v>
      </c>
      <c r="Z130" s="73" t="e">
        <f>#REF!-J130</f>
        <v>#REF!</v>
      </c>
      <c r="AA130" s="74" t="e">
        <f>#REF!-L130</f>
        <v>#REF!</v>
      </c>
      <c r="AB130" s="73" t="e">
        <f>#REF!-N130</f>
        <v>#REF!</v>
      </c>
      <c r="AC130" s="72" t="e">
        <f>(#REF!+#REF!)-S130</f>
        <v>#REF!</v>
      </c>
      <c r="AD130" s="50" t="e">
        <f>AC130/(#REF!+#REF!)*100</f>
        <v>#REF!</v>
      </c>
      <c r="AH130" s="33" t="s">
        <v>34</v>
      </c>
    </row>
    <row r="131" spans="1:34" x14ac:dyDescent="0.3">
      <c r="A131" s="230">
        <v>129</v>
      </c>
      <c r="B131" s="34" t="s">
        <v>26</v>
      </c>
      <c r="C131" s="34" t="s">
        <v>244</v>
      </c>
      <c r="D131" s="35" t="s">
        <v>270</v>
      </c>
      <c r="E131" s="35" t="s">
        <v>29</v>
      </c>
      <c r="F131" s="36" t="s">
        <v>29</v>
      </c>
      <c r="G131" s="37"/>
      <c r="H131" s="105">
        <f t="shared" si="4"/>
        <v>5710.2500000000009</v>
      </c>
      <c r="I131" s="39"/>
      <c r="J131" s="40">
        <v>4115.8500000000004</v>
      </c>
      <c r="K131" s="41">
        <f t="shared" si="7"/>
        <v>4115.8500000000004</v>
      </c>
      <c r="L131" s="106">
        <f>701+128.9+77.5+68.7</f>
        <v>976.1</v>
      </c>
      <c r="M131" s="106">
        <f>128.9+77.5+68.7</f>
        <v>275.10000000000002</v>
      </c>
      <c r="N131" s="40">
        <v>618.21</v>
      </c>
      <c r="O131" s="43">
        <f t="shared" si="5"/>
        <v>618.30000000000007</v>
      </c>
      <c r="P131" s="40">
        <v>556</v>
      </c>
      <c r="Q131" s="40">
        <v>24.1</v>
      </c>
      <c r="R131" s="40">
        <v>38.200000000000003</v>
      </c>
      <c r="S131" s="44">
        <f t="shared" si="6"/>
        <v>5091.9500000000007</v>
      </c>
      <c r="T131" s="35" t="s">
        <v>271</v>
      </c>
      <c r="U131" s="70" t="s">
        <v>246</v>
      </c>
      <c r="V131" s="71" t="s">
        <v>272</v>
      </c>
      <c r="W131" s="71" t="s">
        <v>29</v>
      </c>
      <c r="X131" s="70" t="s">
        <v>29</v>
      </c>
      <c r="Y131" s="72" t="e">
        <f>#REF!-H131</f>
        <v>#REF!</v>
      </c>
      <c r="Z131" s="73" t="e">
        <f>#REF!-J131</f>
        <v>#REF!</v>
      </c>
      <c r="AA131" s="74" t="e">
        <f>#REF!-L131</f>
        <v>#REF!</v>
      </c>
      <c r="AB131" s="73" t="e">
        <f>#REF!-N131</f>
        <v>#REF!</v>
      </c>
      <c r="AC131" s="72" t="e">
        <f>(#REF!+#REF!)-S131</f>
        <v>#REF!</v>
      </c>
      <c r="AD131" s="50" t="e">
        <f>AC131/(#REF!+#REF!)*100</f>
        <v>#REF!</v>
      </c>
      <c r="AH131" s="33" t="s">
        <v>34</v>
      </c>
    </row>
    <row r="132" spans="1:34" x14ac:dyDescent="0.3">
      <c r="A132" s="230">
        <v>130</v>
      </c>
      <c r="B132" s="34" t="s">
        <v>26</v>
      </c>
      <c r="C132" s="34" t="s">
        <v>244</v>
      </c>
      <c r="D132" s="35" t="s">
        <v>116</v>
      </c>
      <c r="E132" s="35" t="s">
        <v>29</v>
      </c>
      <c r="F132" s="36" t="s">
        <v>30</v>
      </c>
      <c r="G132" s="37" t="s">
        <v>31</v>
      </c>
      <c r="H132" s="38">
        <f t="shared" si="4"/>
        <v>7077.42</v>
      </c>
      <c r="I132" s="39"/>
      <c r="J132" s="40">
        <f>4607.87+0.05</f>
        <v>4607.92</v>
      </c>
      <c r="K132" s="41">
        <f t="shared" si="7"/>
        <v>4607.92</v>
      </c>
      <c r="L132" s="42">
        <v>1758.7</v>
      </c>
      <c r="M132" s="42">
        <v>123.1</v>
      </c>
      <c r="N132" s="40">
        <v>689</v>
      </c>
      <c r="O132" s="43">
        <f t="shared" si="5"/>
        <v>710.8</v>
      </c>
      <c r="P132" s="40">
        <v>689</v>
      </c>
      <c r="Q132" s="40">
        <v>21.8</v>
      </c>
      <c r="R132" s="40"/>
      <c r="S132" s="44">
        <f t="shared" si="6"/>
        <v>6366.62</v>
      </c>
      <c r="T132" s="35" t="s">
        <v>273</v>
      </c>
      <c r="U132" s="70" t="s">
        <v>246</v>
      </c>
      <c r="V132" s="71" t="s">
        <v>116</v>
      </c>
      <c r="W132" s="71" t="s">
        <v>29</v>
      </c>
      <c r="X132" s="70" t="s">
        <v>29</v>
      </c>
      <c r="Y132" s="72" t="e">
        <f>#REF!-H132</f>
        <v>#REF!</v>
      </c>
      <c r="Z132" s="73" t="e">
        <f>#REF!-J132</f>
        <v>#REF!</v>
      </c>
      <c r="AA132" s="74" t="e">
        <f>#REF!-L132</f>
        <v>#REF!</v>
      </c>
      <c r="AB132" s="73" t="e">
        <f>#REF!-N132</f>
        <v>#REF!</v>
      </c>
      <c r="AC132" s="72" t="e">
        <f>(#REF!+#REF!)-S132</f>
        <v>#REF!</v>
      </c>
      <c r="AD132" s="50" t="e">
        <f>AC132/(#REF!+#REF!)*100</f>
        <v>#REF!</v>
      </c>
      <c r="AH132" s="33" t="s">
        <v>34</v>
      </c>
    </row>
    <row r="133" spans="1:34" s="69" customFormat="1" x14ac:dyDescent="0.3">
      <c r="A133" s="101">
        <v>131</v>
      </c>
      <c r="B133" s="34" t="s">
        <v>26</v>
      </c>
      <c r="C133" s="34" t="s">
        <v>244</v>
      </c>
      <c r="D133" s="35" t="s">
        <v>274</v>
      </c>
      <c r="E133" s="35" t="s">
        <v>29</v>
      </c>
      <c r="F133" s="36" t="s">
        <v>30</v>
      </c>
      <c r="G133" s="37"/>
      <c r="H133" s="38">
        <f t="shared" ref="H133:H196" si="8">O133+S133</f>
        <v>4721.3399999999992</v>
      </c>
      <c r="I133" s="39"/>
      <c r="J133" s="40">
        <v>4193.9399999999996</v>
      </c>
      <c r="K133" s="41">
        <f t="shared" si="7"/>
        <v>4193.9399999999996</v>
      </c>
      <c r="L133" s="42">
        <v>0</v>
      </c>
      <c r="M133" s="42"/>
      <c r="N133" s="40">
        <v>527.42999999999995</v>
      </c>
      <c r="O133" s="43">
        <f t="shared" ref="O133:O196" si="9">P133+Q133+R133</f>
        <v>527.4</v>
      </c>
      <c r="P133" s="40">
        <v>485</v>
      </c>
      <c r="Q133" s="40">
        <v>42.4</v>
      </c>
      <c r="R133" s="40"/>
      <c r="S133" s="76">
        <f t="shared" ref="S133:S196" si="10">J133+L133+I133</f>
        <v>4193.9399999999996</v>
      </c>
      <c r="T133" s="35" t="s">
        <v>275</v>
      </c>
      <c r="U133" s="34" t="s">
        <v>246</v>
      </c>
      <c r="V133" s="35" t="s">
        <v>274</v>
      </c>
      <c r="W133" s="35" t="s">
        <v>29</v>
      </c>
      <c r="X133" s="34" t="s">
        <v>29</v>
      </c>
      <c r="Y133" s="77" t="e">
        <f>#REF!-H133</f>
        <v>#REF!</v>
      </c>
      <c r="Z133" s="78" t="e">
        <f>#REF!-J133</f>
        <v>#REF!</v>
      </c>
      <c r="AA133" s="79" t="e">
        <f>#REF!-L133</f>
        <v>#REF!</v>
      </c>
      <c r="AB133" s="78" t="e">
        <f>#REF!-N133</f>
        <v>#REF!</v>
      </c>
      <c r="AC133" s="77" t="e">
        <f>(#REF!+#REF!)-S133</f>
        <v>#REF!</v>
      </c>
      <c r="AD133" s="80" t="e">
        <f>AC133/(#REF!+#REF!)*100</f>
        <v>#REF!</v>
      </c>
      <c r="AG133" s="81"/>
      <c r="AH133" s="33" t="s">
        <v>34</v>
      </c>
    </row>
    <row r="134" spans="1:34" s="69" customFormat="1" x14ac:dyDescent="0.3">
      <c r="A134" s="75">
        <v>132</v>
      </c>
      <c r="B134" s="34" t="s">
        <v>26</v>
      </c>
      <c r="C134" s="34" t="s">
        <v>244</v>
      </c>
      <c r="D134" s="35" t="s">
        <v>276</v>
      </c>
      <c r="E134" s="35" t="s">
        <v>29</v>
      </c>
      <c r="F134" s="36" t="s">
        <v>30</v>
      </c>
      <c r="G134" s="37"/>
      <c r="H134" s="38">
        <f t="shared" si="8"/>
        <v>6786.1</v>
      </c>
      <c r="I134" s="39"/>
      <c r="J134" s="40">
        <v>5342</v>
      </c>
      <c r="K134" s="41">
        <f t="shared" ref="K134:K197" si="11">I134+J134</f>
        <v>5342</v>
      </c>
      <c r="L134" s="42">
        <f>405+331.6</f>
        <v>736.6</v>
      </c>
      <c r="M134" s="42"/>
      <c r="N134" s="40">
        <v>666</v>
      </c>
      <c r="O134" s="43">
        <f t="shared" si="9"/>
        <v>707.5</v>
      </c>
      <c r="P134" s="40">
        <v>666</v>
      </c>
      <c r="Q134" s="40">
        <v>41.5</v>
      </c>
      <c r="R134" s="40"/>
      <c r="S134" s="76">
        <f t="shared" si="10"/>
        <v>6078.6</v>
      </c>
      <c r="T134" s="35" t="s">
        <v>277</v>
      </c>
      <c r="U134" s="34" t="s">
        <v>246</v>
      </c>
      <c r="V134" s="35" t="s">
        <v>276</v>
      </c>
      <c r="W134" s="35" t="s">
        <v>29</v>
      </c>
      <c r="X134" s="34" t="s">
        <v>29</v>
      </c>
      <c r="Y134" s="77" t="e">
        <f>#REF!-H134</f>
        <v>#REF!</v>
      </c>
      <c r="Z134" s="78" t="e">
        <f>#REF!-J134</f>
        <v>#REF!</v>
      </c>
      <c r="AA134" s="79" t="e">
        <f>#REF!-L134</f>
        <v>#REF!</v>
      </c>
      <c r="AB134" s="78" t="e">
        <f>#REF!-N134</f>
        <v>#REF!</v>
      </c>
      <c r="AC134" s="77" t="e">
        <f>(#REF!+#REF!)-S134</f>
        <v>#REF!</v>
      </c>
      <c r="AD134" s="80" t="e">
        <f>AC134/(#REF!+#REF!)*100</f>
        <v>#REF!</v>
      </c>
      <c r="AG134" s="81"/>
      <c r="AH134" s="33" t="s">
        <v>34</v>
      </c>
    </row>
    <row r="135" spans="1:34" s="69" customFormat="1" x14ac:dyDescent="0.3">
      <c r="A135" s="75">
        <v>133</v>
      </c>
      <c r="B135" s="34" t="s">
        <v>26</v>
      </c>
      <c r="C135" s="34" t="s">
        <v>244</v>
      </c>
      <c r="D135" s="35" t="s">
        <v>122</v>
      </c>
      <c r="E135" s="35" t="s">
        <v>29</v>
      </c>
      <c r="F135" s="36" t="s">
        <v>30</v>
      </c>
      <c r="G135" s="37"/>
      <c r="H135" s="38">
        <f t="shared" si="8"/>
        <v>5128.41</v>
      </c>
      <c r="I135" s="39"/>
      <c r="J135" s="40">
        <v>3496.41</v>
      </c>
      <c r="K135" s="41">
        <f t="shared" si="11"/>
        <v>3496.41</v>
      </c>
      <c r="L135" s="42">
        <v>1177.8</v>
      </c>
      <c r="M135" s="42"/>
      <c r="N135" s="40">
        <v>454.21</v>
      </c>
      <c r="O135" s="43">
        <f t="shared" si="9"/>
        <v>454.2</v>
      </c>
      <c r="P135" s="40">
        <v>427</v>
      </c>
      <c r="Q135" s="40">
        <v>27.2</v>
      </c>
      <c r="R135" s="40"/>
      <c r="S135" s="76">
        <f t="shared" si="10"/>
        <v>4674.21</v>
      </c>
      <c r="T135" s="35" t="s">
        <v>278</v>
      </c>
      <c r="U135" s="34" t="s">
        <v>246</v>
      </c>
      <c r="V135" s="35" t="s">
        <v>122</v>
      </c>
      <c r="W135" s="35" t="s">
        <v>29</v>
      </c>
      <c r="X135" s="34" t="s">
        <v>29</v>
      </c>
      <c r="Y135" s="77" t="e">
        <f>#REF!-H135</f>
        <v>#REF!</v>
      </c>
      <c r="Z135" s="78" t="e">
        <f>#REF!-J135</f>
        <v>#REF!</v>
      </c>
      <c r="AA135" s="79" t="e">
        <f>#REF!-L135</f>
        <v>#REF!</v>
      </c>
      <c r="AB135" s="78" t="e">
        <f>#REF!-N135</f>
        <v>#REF!</v>
      </c>
      <c r="AC135" s="77" t="e">
        <f>(#REF!+#REF!)-S135</f>
        <v>#REF!</v>
      </c>
      <c r="AD135" s="80" t="e">
        <f>AC135/(#REF!+#REF!)*100</f>
        <v>#REF!</v>
      </c>
      <c r="AG135" s="81"/>
      <c r="AH135" s="33" t="s">
        <v>34</v>
      </c>
    </row>
    <row r="136" spans="1:34" s="69" customFormat="1" x14ac:dyDescent="0.3">
      <c r="A136" s="101">
        <v>134</v>
      </c>
      <c r="B136" s="34" t="s">
        <v>26</v>
      </c>
      <c r="C136" s="34" t="s">
        <v>244</v>
      </c>
      <c r="D136" s="35" t="s">
        <v>126</v>
      </c>
      <c r="E136" s="35" t="s">
        <v>31</v>
      </c>
      <c r="F136" s="36" t="s">
        <v>30</v>
      </c>
      <c r="G136" s="37"/>
      <c r="H136" s="38">
        <f t="shared" si="8"/>
        <v>5369.42</v>
      </c>
      <c r="I136" s="39"/>
      <c r="J136" s="40">
        <v>3554.62</v>
      </c>
      <c r="K136" s="41">
        <f t="shared" si="11"/>
        <v>3554.62</v>
      </c>
      <c r="L136" s="42">
        <f>1408-5.3</f>
        <v>1402.7</v>
      </c>
      <c r="M136" s="42"/>
      <c r="N136" s="40">
        <v>423.21</v>
      </c>
      <c r="O136" s="43">
        <f t="shared" si="9"/>
        <v>412.1</v>
      </c>
      <c r="P136" s="40">
        <v>392</v>
      </c>
      <c r="Q136" s="40">
        <v>20.100000000000001</v>
      </c>
      <c r="R136" s="40"/>
      <c r="S136" s="76">
        <f t="shared" si="10"/>
        <v>4957.32</v>
      </c>
      <c r="T136" s="35" t="s">
        <v>279</v>
      </c>
      <c r="U136" s="34" t="s">
        <v>246</v>
      </c>
      <c r="V136" s="35" t="s">
        <v>126</v>
      </c>
      <c r="W136" s="35" t="s">
        <v>31</v>
      </c>
      <c r="X136" s="34" t="s">
        <v>29</v>
      </c>
      <c r="Y136" s="77" t="e">
        <f>#REF!-H136</f>
        <v>#REF!</v>
      </c>
      <c r="Z136" s="78" t="e">
        <f>#REF!-J136</f>
        <v>#REF!</v>
      </c>
      <c r="AA136" s="79" t="e">
        <f>#REF!-L136</f>
        <v>#REF!</v>
      </c>
      <c r="AB136" s="78" t="e">
        <f>#REF!-N136</f>
        <v>#REF!</v>
      </c>
      <c r="AC136" s="77" t="e">
        <f>(#REF!+#REF!)-S136</f>
        <v>#REF!</v>
      </c>
      <c r="AD136" s="80" t="e">
        <f>AC136/(#REF!+#REF!)*100</f>
        <v>#REF!</v>
      </c>
      <c r="AG136" s="81"/>
      <c r="AH136" s="33" t="s">
        <v>34</v>
      </c>
    </row>
    <row r="137" spans="1:34" s="69" customFormat="1" x14ac:dyDescent="0.3">
      <c r="A137" s="75">
        <v>135</v>
      </c>
      <c r="B137" s="34" t="s">
        <v>26</v>
      </c>
      <c r="C137" s="34" t="s">
        <v>244</v>
      </c>
      <c r="D137" s="35" t="s">
        <v>126</v>
      </c>
      <c r="E137" s="35" t="s">
        <v>161</v>
      </c>
      <c r="F137" s="36" t="s">
        <v>43</v>
      </c>
      <c r="G137" s="37"/>
      <c r="H137" s="38">
        <f t="shared" si="8"/>
        <v>4674.1100000000006</v>
      </c>
      <c r="I137" s="39"/>
      <c r="J137" s="40">
        <v>4172.01</v>
      </c>
      <c r="K137" s="41">
        <f t="shared" si="11"/>
        <v>4172.01</v>
      </c>
      <c r="L137" s="42">
        <v>0</v>
      </c>
      <c r="M137" s="42"/>
      <c r="N137" s="40">
        <v>483.18</v>
      </c>
      <c r="O137" s="43">
        <f t="shared" si="9"/>
        <v>502.1</v>
      </c>
      <c r="P137" s="40">
        <v>467</v>
      </c>
      <c r="Q137" s="40">
        <v>35.1</v>
      </c>
      <c r="R137" s="40"/>
      <c r="S137" s="76">
        <f t="shared" si="10"/>
        <v>4172.01</v>
      </c>
      <c r="T137" s="35" t="s">
        <v>280</v>
      </c>
      <c r="U137" s="34" t="s">
        <v>246</v>
      </c>
      <c r="V137" s="35" t="s">
        <v>126</v>
      </c>
      <c r="W137" s="35" t="s">
        <v>161</v>
      </c>
      <c r="X137" s="34" t="s">
        <v>29</v>
      </c>
      <c r="Y137" s="77" t="e">
        <f>#REF!-H137</f>
        <v>#REF!</v>
      </c>
      <c r="Z137" s="78" t="e">
        <f>#REF!-J137</f>
        <v>#REF!</v>
      </c>
      <c r="AA137" s="79" t="e">
        <f>#REF!-L137</f>
        <v>#REF!</v>
      </c>
      <c r="AB137" s="78" t="e">
        <f>#REF!-N137</f>
        <v>#REF!</v>
      </c>
      <c r="AC137" s="77" t="e">
        <f>(#REF!+#REF!)-S137</f>
        <v>#REF!</v>
      </c>
      <c r="AD137" s="80" t="e">
        <f>AC137/(#REF!+#REF!)*100</f>
        <v>#REF!</v>
      </c>
      <c r="AG137" s="81"/>
      <c r="AH137" s="33" t="s">
        <v>34</v>
      </c>
    </row>
    <row r="138" spans="1:34" s="69" customFormat="1" x14ac:dyDescent="0.3">
      <c r="A138" s="75">
        <v>136</v>
      </c>
      <c r="B138" s="34" t="s">
        <v>26</v>
      </c>
      <c r="C138" s="34" t="s">
        <v>244</v>
      </c>
      <c r="D138" s="35" t="s">
        <v>126</v>
      </c>
      <c r="E138" s="35" t="s">
        <v>241</v>
      </c>
      <c r="F138" s="36" t="s">
        <v>56</v>
      </c>
      <c r="G138" s="37"/>
      <c r="H138" s="38">
        <f t="shared" si="8"/>
        <v>4688.67</v>
      </c>
      <c r="I138" s="39"/>
      <c r="J138" s="40">
        <v>4192.37</v>
      </c>
      <c r="K138" s="41">
        <f t="shared" si="11"/>
        <v>4192.37</v>
      </c>
      <c r="L138" s="42">
        <v>0</v>
      </c>
      <c r="M138" s="42"/>
      <c r="N138" s="40">
        <v>456</v>
      </c>
      <c r="O138" s="43">
        <f t="shared" si="9"/>
        <v>496.3</v>
      </c>
      <c r="P138" s="40">
        <v>455</v>
      </c>
      <c r="Q138" s="40">
        <v>41.3</v>
      </c>
      <c r="R138" s="40"/>
      <c r="S138" s="76">
        <f t="shared" si="10"/>
        <v>4192.37</v>
      </c>
      <c r="T138" s="35" t="s">
        <v>281</v>
      </c>
      <c r="U138" s="34" t="s">
        <v>246</v>
      </c>
      <c r="V138" s="35" t="s">
        <v>126</v>
      </c>
      <c r="W138" s="35" t="s">
        <v>241</v>
      </c>
      <c r="X138" s="34" t="s">
        <v>29</v>
      </c>
      <c r="Y138" s="77" t="e">
        <f>#REF!-H138</f>
        <v>#REF!</v>
      </c>
      <c r="Z138" s="78" t="e">
        <f>#REF!-J138</f>
        <v>#REF!</v>
      </c>
      <c r="AA138" s="79" t="e">
        <f>#REF!-L138</f>
        <v>#REF!</v>
      </c>
      <c r="AB138" s="78" t="e">
        <f>#REF!-N138</f>
        <v>#REF!</v>
      </c>
      <c r="AC138" s="77" t="e">
        <f>(#REF!+#REF!)-S138</f>
        <v>#REF!</v>
      </c>
      <c r="AD138" s="80" t="e">
        <f>AC138/(#REF!+#REF!)*100</f>
        <v>#REF!</v>
      </c>
      <c r="AG138" s="81"/>
      <c r="AH138" s="33" t="s">
        <v>34</v>
      </c>
    </row>
    <row r="139" spans="1:34" s="69" customFormat="1" x14ac:dyDescent="0.3">
      <c r="A139" s="101">
        <v>137</v>
      </c>
      <c r="B139" s="34" t="s">
        <v>26</v>
      </c>
      <c r="C139" s="34" t="s">
        <v>244</v>
      </c>
      <c r="D139" s="35" t="s">
        <v>128</v>
      </c>
      <c r="E139" s="35" t="s">
        <v>31</v>
      </c>
      <c r="F139" s="36" t="s">
        <v>30</v>
      </c>
      <c r="G139" s="37"/>
      <c r="H139" s="38">
        <f t="shared" si="8"/>
        <v>10528.73</v>
      </c>
      <c r="I139" s="39"/>
      <c r="J139" s="40">
        <v>8944.23</v>
      </c>
      <c r="K139" s="41">
        <f t="shared" si="11"/>
        <v>8944.23</v>
      </c>
      <c r="L139" s="42">
        <f>58.7-58.7</f>
        <v>0</v>
      </c>
      <c r="M139" s="42"/>
      <c r="N139" s="40">
        <v>1718</v>
      </c>
      <c r="O139" s="43">
        <f t="shared" si="9"/>
        <v>1584.5</v>
      </c>
      <c r="P139" s="40">
        <v>1461</v>
      </c>
      <c r="Q139" s="40">
        <v>0</v>
      </c>
      <c r="R139" s="40">
        <v>123.5</v>
      </c>
      <c r="S139" s="76">
        <f t="shared" si="10"/>
        <v>8944.23</v>
      </c>
      <c r="T139" s="35" t="s">
        <v>282</v>
      </c>
      <c r="U139" s="34" t="s">
        <v>246</v>
      </c>
      <c r="V139" s="35" t="s">
        <v>128</v>
      </c>
      <c r="W139" s="35" t="s">
        <v>31</v>
      </c>
      <c r="X139" s="34" t="s">
        <v>29</v>
      </c>
      <c r="Y139" s="77" t="e">
        <f>#REF!-H139</f>
        <v>#REF!</v>
      </c>
      <c r="Z139" s="78" t="e">
        <f>#REF!-J139</f>
        <v>#REF!</v>
      </c>
      <c r="AA139" s="79" t="e">
        <f>#REF!-L139</f>
        <v>#REF!</v>
      </c>
      <c r="AB139" s="78" t="e">
        <f>#REF!-N139</f>
        <v>#REF!</v>
      </c>
      <c r="AC139" s="77" t="e">
        <f>(#REF!+#REF!)-S139</f>
        <v>#REF!</v>
      </c>
      <c r="AD139" s="80" t="e">
        <f>AC139/(#REF!+#REF!)*100</f>
        <v>#REF!</v>
      </c>
      <c r="AG139" s="81"/>
      <c r="AH139" s="33" t="s">
        <v>34</v>
      </c>
    </row>
    <row r="140" spans="1:34" s="69" customFormat="1" x14ac:dyDescent="0.3">
      <c r="A140" s="75">
        <v>138</v>
      </c>
      <c r="B140" s="34" t="s">
        <v>26</v>
      </c>
      <c r="C140" s="34" t="s">
        <v>244</v>
      </c>
      <c r="D140" s="35" t="s">
        <v>128</v>
      </c>
      <c r="E140" s="35" t="s">
        <v>241</v>
      </c>
      <c r="F140" s="36" t="s">
        <v>30</v>
      </c>
      <c r="G140" s="37"/>
      <c r="H140" s="38">
        <f t="shared" si="8"/>
        <v>21185.81</v>
      </c>
      <c r="I140" s="39"/>
      <c r="J140" s="40">
        <v>18004.75</v>
      </c>
      <c r="K140" s="41">
        <f t="shared" si="11"/>
        <v>18004.75</v>
      </c>
      <c r="L140" s="42">
        <v>561.05999999999995</v>
      </c>
      <c r="M140" s="42"/>
      <c r="N140" s="40">
        <v>2607.4499999999998</v>
      </c>
      <c r="O140" s="43">
        <f t="shared" si="9"/>
        <v>2620</v>
      </c>
      <c r="P140" s="40">
        <v>2356</v>
      </c>
      <c r="Q140" s="40">
        <v>264</v>
      </c>
      <c r="R140" s="40"/>
      <c r="S140" s="76">
        <f t="shared" si="10"/>
        <v>18565.810000000001</v>
      </c>
      <c r="T140" s="35" t="s">
        <v>283</v>
      </c>
      <c r="U140" s="34" t="s">
        <v>246</v>
      </c>
      <c r="V140" s="35" t="s">
        <v>128</v>
      </c>
      <c r="W140" s="35" t="s">
        <v>241</v>
      </c>
      <c r="X140" s="34" t="s">
        <v>29</v>
      </c>
      <c r="Y140" s="77" t="e">
        <f>#REF!-H140</f>
        <v>#REF!</v>
      </c>
      <c r="Z140" s="78" t="e">
        <f>#REF!-J140</f>
        <v>#REF!</v>
      </c>
      <c r="AA140" s="79" t="e">
        <f>#REF!-L140</f>
        <v>#REF!</v>
      </c>
      <c r="AB140" s="78" t="e">
        <f>#REF!-N140</f>
        <v>#REF!</v>
      </c>
      <c r="AC140" s="77" t="e">
        <f>(#REF!+#REF!)-S140</f>
        <v>#REF!</v>
      </c>
      <c r="AD140" s="80" t="e">
        <f>AC140/(#REF!+#REF!)*100</f>
        <v>#REF!</v>
      </c>
      <c r="AG140" s="81"/>
      <c r="AH140" s="33" t="s">
        <v>34</v>
      </c>
    </row>
    <row r="141" spans="1:34" s="69" customFormat="1" x14ac:dyDescent="0.3">
      <c r="A141" s="75">
        <v>139</v>
      </c>
      <c r="B141" s="34" t="s">
        <v>26</v>
      </c>
      <c r="C141" s="34" t="s">
        <v>244</v>
      </c>
      <c r="D141" s="35" t="s">
        <v>130</v>
      </c>
      <c r="E141" s="35" t="s">
        <v>161</v>
      </c>
      <c r="F141" s="36" t="s">
        <v>43</v>
      </c>
      <c r="G141" s="37"/>
      <c r="H141" s="38">
        <f t="shared" si="8"/>
        <v>3843.92</v>
      </c>
      <c r="I141" s="39">
        <v>0</v>
      </c>
      <c r="J141" s="40">
        <v>3459.58</v>
      </c>
      <c r="K141" s="41">
        <f t="shared" si="11"/>
        <v>3459.58</v>
      </c>
      <c r="L141" s="42">
        <v>0</v>
      </c>
      <c r="M141" s="42"/>
      <c r="N141" s="40">
        <v>384.34</v>
      </c>
      <c r="O141" s="43">
        <f t="shared" si="9"/>
        <v>384.34</v>
      </c>
      <c r="P141" s="40">
        <v>371</v>
      </c>
      <c r="Q141" s="40">
        <v>13.34</v>
      </c>
      <c r="R141" s="40"/>
      <c r="S141" s="76">
        <f t="shared" si="10"/>
        <v>3459.58</v>
      </c>
      <c r="T141" s="35" t="s">
        <v>284</v>
      </c>
      <c r="U141" s="34" t="s">
        <v>246</v>
      </c>
      <c r="V141" s="35" t="s">
        <v>130</v>
      </c>
      <c r="W141" s="35" t="s">
        <v>161</v>
      </c>
      <c r="X141" s="34" t="s">
        <v>29</v>
      </c>
      <c r="Y141" s="77" t="e">
        <f>#REF!-H141</f>
        <v>#REF!</v>
      </c>
      <c r="Z141" s="78" t="e">
        <f>#REF!-J141</f>
        <v>#REF!</v>
      </c>
      <c r="AA141" s="79" t="e">
        <f>#REF!-L141</f>
        <v>#REF!</v>
      </c>
      <c r="AB141" s="78" t="e">
        <f>#REF!-N141</f>
        <v>#REF!</v>
      </c>
      <c r="AC141" s="77" t="e">
        <f>(#REF!+#REF!)-S141</f>
        <v>#REF!</v>
      </c>
      <c r="AD141" s="80" t="e">
        <f>AC141/(#REF!+#REF!)*100</f>
        <v>#REF!</v>
      </c>
      <c r="AG141" s="81"/>
      <c r="AH141" s="33" t="s">
        <v>34</v>
      </c>
    </row>
    <row r="142" spans="1:34" s="69" customFormat="1" x14ac:dyDescent="0.3">
      <c r="A142" s="101">
        <v>140</v>
      </c>
      <c r="B142" s="34" t="s">
        <v>26</v>
      </c>
      <c r="C142" s="34" t="s">
        <v>244</v>
      </c>
      <c r="D142" s="35" t="s">
        <v>130</v>
      </c>
      <c r="E142" s="35" t="s">
        <v>69</v>
      </c>
      <c r="F142" s="36" t="s">
        <v>155</v>
      </c>
      <c r="G142" s="37" t="s">
        <v>31</v>
      </c>
      <c r="H142" s="38">
        <f t="shared" si="8"/>
        <v>3887.4500000000003</v>
      </c>
      <c r="I142" s="39"/>
      <c r="J142" s="40">
        <v>3476.15</v>
      </c>
      <c r="K142" s="41">
        <f t="shared" si="11"/>
        <v>3476.15</v>
      </c>
      <c r="L142" s="42">
        <v>0</v>
      </c>
      <c r="M142" s="42"/>
      <c r="N142" s="40">
        <v>390.1</v>
      </c>
      <c r="O142" s="43">
        <f t="shared" si="9"/>
        <v>411.3</v>
      </c>
      <c r="P142" s="40">
        <v>363.1</v>
      </c>
      <c r="Q142" s="40">
        <v>48.2</v>
      </c>
      <c r="R142" s="40"/>
      <c r="S142" s="76">
        <f t="shared" si="10"/>
        <v>3476.15</v>
      </c>
      <c r="T142" s="35" t="s">
        <v>285</v>
      </c>
      <c r="U142" s="34" t="s">
        <v>246</v>
      </c>
      <c r="V142" s="35" t="s">
        <v>130</v>
      </c>
      <c r="W142" s="35" t="s">
        <v>69</v>
      </c>
      <c r="X142" s="34" t="s">
        <v>29</v>
      </c>
      <c r="Y142" s="77" t="e">
        <f>#REF!-H142</f>
        <v>#REF!</v>
      </c>
      <c r="Z142" s="78" t="e">
        <f>#REF!-J142</f>
        <v>#REF!</v>
      </c>
      <c r="AA142" s="79" t="e">
        <f>#REF!-L142</f>
        <v>#REF!</v>
      </c>
      <c r="AB142" s="78" t="e">
        <f>#REF!-N142</f>
        <v>#REF!</v>
      </c>
      <c r="AC142" s="77" t="e">
        <f>(#REF!+#REF!)-S142</f>
        <v>#REF!</v>
      </c>
      <c r="AD142" s="80" t="e">
        <f>AC142/(#REF!+#REF!)*100</f>
        <v>#REF!</v>
      </c>
      <c r="AG142" s="81"/>
      <c r="AH142" s="33" t="s">
        <v>34</v>
      </c>
    </row>
    <row r="143" spans="1:34" s="69" customFormat="1" x14ac:dyDescent="0.3">
      <c r="A143" s="75">
        <v>141</v>
      </c>
      <c r="B143" s="34" t="s">
        <v>26</v>
      </c>
      <c r="C143" s="34" t="s">
        <v>244</v>
      </c>
      <c r="D143" s="35" t="s">
        <v>144</v>
      </c>
      <c r="E143" s="35" t="s">
        <v>31</v>
      </c>
      <c r="F143" s="36" t="s">
        <v>30</v>
      </c>
      <c r="G143" s="37" t="s">
        <v>31</v>
      </c>
      <c r="H143" s="38">
        <f t="shared" si="8"/>
        <v>27612.720000000001</v>
      </c>
      <c r="I143" s="39">
        <v>0</v>
      </c>
      <c r="J143" s="40">
        <v>24252.98</v>
      </c>
      <c r="K143" s="41">
        <f t="shared" si="11"/>
        <v>24252.98</v>
      </c>
      <c r="L143" s="42">
        <v>285</v>
      </c>
      <c r="M143" s="42"/>
      <c r="N143" s="40">
        <v>3166.19</v>
      </c>
      <c r="O143" s="43">
        <f t="shared" si="9"/>
        <v>3074.7400000000002</v>
      </c>
      <c r="P143" s="40">
        <v>2523</v>
      </c>
      <c r="Q143" s="40">
        <f>94.5+111.8+424.4+3.1-24.16-67.29</f>
        <v>542.35000000000014</v>
      </c>
      <c r="R143" s="40">
        <v>9.39</v>
      </c>
      <c r="S143" s="76">
        <f t="shared" si="10"/>
        <v>24537.98</v>
      </c>
      <c r="T143" s="35" t="s">
        <v>286</v>
      </c>
      <c r="U143" s="34" t="s">
        <v>246</v>
      </c>
      <c r="V143" s="35" t="s">
        <v>144</v>
      </c>
      <c r="W143" s="35" t="s">
        <v>31</v>
      </c>
      <c r="X143" s="34" t="s">
        <v>29</v>
      </c>
      <c r="Y143" s="77" t="e">
        <f>#REF!-H143</f>
        <v>#REF!</v>
      </c>
      <c r="Z143" s="78" t="e">
        <f>#REF!-J143</f>
        <v>#REF!</v>
      </c>
      <c r="AA143" s="79" t="e">
        <f>#REF!-L143</f>
        <v>#REF!</v>
      </c>
      <c r="AB143" s="78" t="e">
        <f>#REF!-N143</f>
        <v>#REF!</v>
      </c>
      <c r="AC143" s="77" t="e">
        <f>(#REF!+#REF!)-S143</f>
        <v>#REF!</v>
      </c>
      <c r="AD143" s="80" t="e">
        <f>AC143/(#REF!+#REF!)*100</f>
        <v>#REF!</v>
      </c>
      <c r="AG143" s="81"/>
      <c r="AH143" s="33" t="s">
        <v>34</v>
      </c>
    </row>
    <row r="144" spans="1:34" x14ac:dyDescent="0.3">
      <c r="A144" s="230">
        <v>142</v>
      </c>
      <c r="B144" s="34" t="s">
        <v>26</v>
      </c>
      <c r="C144" s="34" t="s">
        <v>287</v>
      </c>
      <c r="D144" s="35" t="s">
        <v>241</v>
      </c>
      <c r="E144" s="35" t="s">
        <v>29</v>
      </c>
      <c r="F144" s="36" t="s">
        <v>30</v>
      </c>
      <c r="G144" s="37" t="s">
        <v>31</v>
      </c>
      <c r="H144" s="38">
        <f t="shared" si="8"/>
        <v>3830.14</v>
      </c>
      <c r="I144" s="39">
        <v>70.040000000000006</v>
      </c>
      <c r="J144" s="40">
        <v>3058.4</v>
      </c>
      <c r="K144" s="41">
        <f t="shared" si="11"/>
        <v>3128.44</v>
      </c>
      <c r="L144" s="42">
        <v>249.5</v>
      </c>
      <c r="M144" s="42">
        <v>52.3</v>
      </c>
      <c r="N144" s="40">
        <v>267.56</v>
      </c>
      <c r="O144" s="43">
        <f t="shared" si="9"/>
        <v>452.2</v>
      </c>
      <c r="P144" s="41">
        <v>452.2</v>
      </c>
      <c r="Q144" s="40">
        <v>0</v>
      </c>
      <c r="R144" s="40"/>
      <c r="S144" s="44">
        <f t="shared" si="10"/>
        <v>3377.94</v>
      </c>
      <c r="T144" s="35" t="s">
        <v>288</v>
      </c>
      <c r="U144" s="45" t="s">
        <v>289</v>
      </c>
      <c r="V144" s="46" t="s">
        <v>241</v>
      </c>
      <c r="W144" s="46" t="s">
        <v>29</v>
      </c>
      <c r="X144" s="45" t="s">
        <v>29</v>
      </c>
      <c r="Y144" s="72" t="e">
        <f>#REF!-H144</f>
        <v>#REF!</v>
      </c>
      <c r="Z144" s="73" t="e">
        <f>#REF!-J144</f>
        <v>#REF!</v>
      </c>
      <c r="AA144" s="74" t="e">
        <f>#REF!-L144</f>
        <v>#REF!</v>
      </c>
      <c r="AB144" s="73" t="e">
        <f>#REF!-N144</f>
        <v>#REF!</v>
      </c>
      <c r="AC144" s="72" t="e">
        <f>(#REF!+#REF!)-S144</f>
        <v>#REF!</v>
      </c>
      <c r="AD144" s="50" t="e">
        <f>AC144/(#REF!+#REF!)*100</f>
        <v>#REF!</v>
      </c>
      <c r="AE144" s="7">
        <f>N144/418</f>
        <v>0.64009569377990427</v>
      </c>
      <c r="AF144" s="7">
        <v>418</v>
      </c>
      <c r="AH144" s="33" t="s">
        <v>34</v>
      </c>
    </row>
    <row r="145" spans="1:34" x14ac:dyDescent="0.3">
      <c r="A145" s="232">
        <v>143</v>
      </c>
      <c r="B145" s="34" t="s">
        <v>26</v>
      </c>
      <c r="C145" s="34" t="s">
        <v>287</v>
      </c>
      <c r="D145" s="35" t="s">
        <v>72</v>
      </c>
      <c r="E145" s="35" t="s">
        <v>29</v>
      </c>
      <c r="F145" s="36" t="s">
        <v>30</v>
      </c>
      <c r="G145" s="37" t="s">
        <v>31</v>
      </c>
      <c r="H145" s="38">
        <f t="shared" si="8"/>
        <v>4151.9900000000007</v>
      </c>
      <c r="I145" s="39">
        <v>66.28</v>
      </c>
      <c r="J145" s="40">
        <v>3547.71</v>
      </c>
      <c r="K145" s="41">
        <f t="shared" si="11"/>
        <v>3613.9900000000002</v>
      </c>
      <c r="L145" s="42">
        <v>25.9</v>
      </c>
      <c r="M145" s="42"/>
      <c r="N145" s="40">
        <v>522.9</v>
      </c>
      <c r="O145" s="43">
        <f t="shared" si="9"/>
        <v>512.1</v>
      </c>
      <c r="P145" s="40">
        <v>449.2</v>
      </c>
      <c r="Q145" s="40">
        <v>62.9</v>
      </c>
      <c r="R145" s="40"/>
      <c r="S145" s="44">
        <f t="shared" si="10"/>
        <v>3639.8900000000003</v>
      </c>
      <c r="T145" s="35" t="s">
        <v>290</v>
      </c>
      <c r="U145" s="70" t="s">
        <v>289</v>
      </c>
      <c r="V145" s="71" t="s">
        <v>72</v>
      </c>
      <c r="W145" s="71" t="s">
        <v>29</v>
      </c>
      <c r="X145" s="70" t="s">
        <v>29</v>
      </c>
      <c r="Y145" s="72" t="e">
        <f>#REF!-H145</f>
        <v>#REF!</v>
      </c>
      <c r="Z145" s="73" t="e">
        <f>#REF!-J145</f>
        <v>#REF!</v>
      </c>
      <c r="AA145" s="74" t="e">
        <f>#REF!-L145</f>
        <v>#REF!</v>
      </c>
      <c r="AB145" s="73" t="e">
        <f>#REF!-N145</f>
        <v>#REF!</v>
      </c>
      <c r="AC145" s="72" t="e">
        <f>(#REF!+#REF!)-S145</f>
        <v>#REF!</v>
      </c>
      <c r="AD145" s="50" t="e">
        <f>AC145/(#REF!+#REF!)*100</f>
        <v>#REF!</v>
      </c>
      <c r="AH145" s="33" t="s">
        <v>34</v>
      </c>
    </row>
    <row r="146" spans="1:34" s="69" customFormat="1" ht="21" x14ac:dyDescent="0.3">
      <c r="A146" s="233">
        <v>144</v>
      </c>
      <c r="B146" s="82" t="s">
        <v>26</v>
      </c>
      <c r="C146" s="82" t="s">
        <v>287</v>
      </c>
      <c r="D146" s="83" t="s">
        <v>92</v>
      </c>
      <c r="E146" s="83" t="s">
        <v>29</v>
      </c>
      <c r="F146" s="84" t="s">
        <v>30</v>
      </c>
      <c r="G146" s="85"/>
      <c r="H146" s="86">
        <f t="shared" si="8"/>
        <v>3374.22</v>
      </c>
      <c r="I146" s="87"/>
      <c r="J146" s="88">
        <v>2467.02</v>
      </c>
      <c r="K146" s="89">
        <f t="shared" si="11"/>
        <v>2467.02</v>
      </c>
      <c r="L146" s="90">
        <v>359.7</v>
      </c>
      <c r="M146" s="90"/>
      <c r="N146" s="88">
        <v>352</v>
      </c>
      <c r="O146" s="91">
        <f t="shared" si="9"/>
        <v>547.5</v>
      </c>
      <c r="P146" s="88">
        <v>352</v>
      </c>
      <c r="Q146" s="88">
        <v>25.6</v>
      </c>
      <c r="R146" s="88">
        <v>169.9</v>
      </c>
      <c r="S146" s="92">
        <f t="shared" si="10"/>
        <v>2826.72</v>
      </c>
      <c r="T146" s="93" t="s">
        <v>57</v>
      </c>
      <c r="U146" s="82" t="s">
        <v>289</v>
      </c>
      <c r="V146" s="83" t="s">
        <v>92</v>
      </c>
      <c r="W146" s="83" t="s">
        <v>29</v>
      </c>
      <c r="X146" s="82" t="s">
        <v>29</v>
      </c>
      <c r="Y146" s="94" t="e">
        <f>#REF!-H146</f>
        <v>#REF!</v>
      </c>
      <c r="Z146" s="95" t="e">
        <f>#REF!-J146</f>
        <v>#REF!</v>
      </c>
      <c r="AA146" s="96" t="e">
        <f>#REF!-L146</f>
        <v>#REF!</v>
      </c>
      <c r="AB146" s="95" t="e">
        <f>#REF!-N146</f>
        <v>#REF!</v>
      </c>
      <c r="AC146" s="94" t="e">
        <f>(#REF!+#REF!)-S146</f>
        <v>#REF!</v>
      </c>
      <c r="AD146" s="97" t="e">
        <f>AC146/(#REF!+#REF!)*100</f>
        <v>#REF!</v>
      </c>
      <c r="AE146" s="98"/>
      <c r="AF146" s="98"/>
      <c r="AG146" s="99"/>
      <c r="AH146" s="100" t="s">
        <v>95</v>
      </c>
    </row>
    <row r="147" spans="1:34" x14ac:dyDescent="0.3">
      <c r="A147" s="230">
        <v>145</v>
      </c>
      <c r="B147" s="34" t="s">
        <v>26</v>
      </c>
      <c r="C147" s="34" t="s">
        <v>287</v>
      </c>
      <c r="D147" s="35" t="s">
        <v>94</v>
      </c>
      <c r="E147" s="35" t="s">
        <v>29</v>
      </c>
      <c r="F147" s="36" t="s">
        <v>30</v>
      </c>
      <c r="G147" s="37" t="s">
        <v>31</v>
      </c>
      <c r="H147" s="38">
        <f t="shared" si="8"/>
        <v>4505.7700000000004</v>
      </c>
      <c r="I147" s="39"/>
      <c r="J147" s="40">
        <f>3660.15+0.02</f>
        <v>3660.17</v>
      </c>
      <c r="K147" s="41">
        <f t="shared" si="11"/>
        <v>3660.17</v>
      </c>
      <c r="L147" s="42">
        <v>57.8</v>
      </c>
      <c r="M147" s="42"/>
      <c r="N147" s="40">
        <v>789</v>
      </c>
      <c r="O147" s="43">
        <f t="shared" si="9"/>
        <v>787.8</v>
      </c>
      <c r="P147" s="40">
        <v>629</v>
      </c>
      <c r="Q147" s="40">
        <v>158.80000000000001</v>
      </c>
      <c r="R147" s="40"/>
      <c r="S147" s="44">
        <f t="shared" si="10"/>
        <v>3717.9700000000003</v>
      </c>
      <c r="T147" s="35" t="s">
        <v>291</v>
      </c>
      <c r="U147" s="70" t="s">
        <v>289</v>
      </c>
      <c r="V147" s="71" t="s">
        <v>94</v>
      </c>
      <c r="W147" s="71" t="s">
        <v>29</v>
      </c>
      <c r="X147" s="70" t="s">
        <v>29</v>
      </c>
      <c r="Y147" s="72" t="e">
        <f>#REF!-H147</f>
        <v>#REF!</v>
      </c>
      <c r="Z147" s="73" t="e">
        <f>#REF!-J147</f>
        <v>#REF!</v>
      </c>
      <c r="AA147" s="74" t="e">
        <f>#REF!-L147</f>
        <v>#REF!</v>
      </c>
      <c r="AB147" s="73" t="e">
        <f>#REF!-N147</f>
        <v>#REF!</v>
      </c>
      <c r="AC147" s="72" t="e">
        <f>(#REF!+#REF!)-S147</f>
        <v>#REF!</v>
      </c>
      <c r="AD147" s="50" t="e">
        <f>AC147/(#REF!+#REF!)*100</f>
        <v>#REF!</v>
      </c>
      <c r="AH147" s="33" t="s">
        <v>34</v>
      </c>
    </row>
    <row r="148" spans="1:34" x14ac:dyDescent="0.3">
      <c r="A148" s="232">
        <v>146</v>
      </c>
      <c r="B148" s="34" t="s">
        <v>26</v>
      </c>
      <c r="C148" s="34" t="s">
        <v>287</v>
      </c>
      <c r="D148" s="35" t="s">
        <v>80</v>
      </c>
      <c r="E148" s="35" t="s">
        <v>29</v>
      </c>
      <c r="F148" s="36" t="s">
        <v>30</v>
      </c>
      <c r="G148" s="37" t="s">
        <v>31</v>
      </c>
      <c r="H148" s="38">
        <f t="shared" si="8"/>
        <v>4066.65</v>
      </c>
      <c r="I148" s="39">
        <v>52.7</v>
      </c>
      <c r="J148" s="40">
        <v>3198.65</v>
      </c>
      <c r="K148" s="41">
        <f t="shared" si="11"/>
        <v>3251.35</v>
      </c>
      <c r="L148" s="42">
        <v>321.3</v>
      </c>
      <c r="M148" s="42"/>
      <c r="N148" s="40">
        <v>494</v>
      </c>
      <c r="O148" s="43">
        <f t="shared" si="9"/>
        <v>494</v>
      </c>
      <c r="P148" s="40">
        <v>494</v>
      </c>
      <c r="Q148" s="40">
        <v>0</v>
      </c>
      <c r="R148" s="40"/>
      <c r="S148" s="44">
        <f t="shared" si="10"/>
        <v>3572.65</v>
      </c>
      <c r="T148" s="35" t="s">
        <v>292</v>
      </c>
      <c r="U148" s="70" t="s">
        <v>289</v>
      </c>
      <c r="V148" s="71" t="s">
        <v>80</v>
      </c>
      <c r="W148" s="71" t="s">
        <v>29</v>
      </c>
      <c r="X148" s="70" t="s">
        <v>29</v>
      </c>
      <c r="Y148" s="72" t="e">
        <f>#REF!-H148</f>
        <v>#REF!</v>
      </c>
      <c r="Z148" s="73" t="e">
        <f>#REF!-J148</f>
        <v>#REF!</v>
      </c>
      <c r="AA148" s="74" t="e">
        <f>#REF!-L148</f>
        <v>#REF!</v>
      </c>
      <c r="AB148" s="73" t="e">
        <f>#REF!-N148</f>
        <v>#REF!</v>
      </c>
      <c r="AC148" s="72" t="e">
        <f>(#REF!+#REF!)-S148</f>
        <v>#REF!</v>
      </c>
      <c r="AD148" s="50" t="e">
        <f>AC148/(#REF!+#REF!)*100</f>
        <v>#REF!</v>
      </c>
      <c r="AH148" s="33" t="s">
        <v>34</v>
      </c>
    </row>
    <row r="149" spans="1:34" s="69" customFormat="1" ht="21" x14ac:dyDescent="0.3">
      <c r="A149" s="233">
        <v>147</v>
      </c>
      <c r="B149" s="82" t="s">
        <v>26</v>
      </c>
      <c r="C149" s="82" t="s">
        <v>287</v>
      </c>
      <c r="D149" s="83" t="s">
        <v>83</v>
      </c>
      <c r="E149" s="83" t="s">
        <v>29</v>
      </c>
      <c r="F149" s="84" t="s">
        <v>30</v>
      </c>
      <c r="G149" s="85"/>
      <c r="H149" s="86">
        <f t="shared" si="8"/>
        <v>1618.8000000000002</v>
      </c>
      <c r="I149" s="87"/>
      <c r="J149" s="88">
        <v>1144.5</v>
      </c>
      <c r="K149" s="89">
        <f t="shared" si="11"/>
        <v>1144.5</v>
      </c>
      <c r="L149" s="90">
        <v>148.19999999999999</v>
      </c>
      <c r="M149" s="90"/>
      <c r="N149" s="88">
        <v>241.6</v>
      </c>
      <c r="O149" s="91">
        <f>P149+Q149+R149</f>
        <v>326.10000000000002</v>
      </c>
      <c r="P149" s="88">
        <v>206</v>
      </c>
      <c r="Q149" s="88">
        <v>120.1</v>
      </c>
      <c r="R149" s="88"/>
      <c r="S149" s="92">
        <f t="shared" si="10"/>
        <v>1292.7</v>
      </c>
      <c r="T149" s="93" t="s">
        <v>57</v>
      </c>
      <c r="U149" s="82" t="s">
        <v>289</v>
      </c>
      <c r="V149" s="83" t="s">
        <v>83</v>
      </c>
      <c r="W149" s="83" t="s">
        <v>29</v>
      </c>
      <c r="X149" s="82" t="s">
        <v>29</v>
      </c>
      <c r="Y149" s="94" t="e">
        <f>#REF!-H149</f>
        <v>#REF!</v>
      </c>
      <c r="Z149" s="95" t="e">
        <f>#REF!-J149</f>
        <v>#REF!</v>
      </c>
      <c r="AA149" s="96" t="e">
        <f>#REF!-L149</f>
        <v>#REF!</v>
      </c>
      <c r="AB149" s="95" t="e">
        <f>#REF!-N149</f>
        <v>#REF!</v>
      </c>
      <c r="AC149" s="94" t="e">
        <f>(#REF!+#REF!)-S149</f>
        <v>#REF!</v>
      </c>
      <c r="AD149" s="97" t="e">
        <f>AC149/(#REF!+#REF!)*100</f>
        <v>#REF!</v>
      </c>
      <c r="AE149" s="98"/>
      <c r="AF149" s="98"/>
      <c r="AG149" s="99"/>
      <c r="AH149" s="100" t="s">
        <v>249</v>
      </c>
    </row>
    <row r="150" spans="1:34" s="69" customFormat="1" x14ac:dyDescent="0.3">
      <c r="A150" s="75">
        <v>148</v>
      </c>
      <c r="B150" s="34" t="s">
        <v>26</v>
      </c>
      <c r="C150" s="34" t="s">
        <v>287</v>
      </c>
      <c r="D150" s="35" t="s">
        <v>195</v>
      </c>
      <c r="E150" s="35" t="s">
        <v>29</v>
      </c>
      <c r="F150" s="36" t="s">
        <v>30</v>
      </c>
      <c r="G150" s="37" t="s">
        <v>31</v>
      </c>
      <c r="H150" s="38">
        <f t="shared" si="8"/>
        <v>3988.36</v>
      </c>
      <c r="I150" s="39"/>
      <c r="J150" s="40">
        <v>3440.96</v>
      </c>
      <c r="K150" s="41">
        <f t="shared" si="11"/>
        <v>3440.96</v>
      </c>
      <c r="L150" s="42">
        <v>142.4</v>
      </c>
      <c r="M150" s="42"/>
      <c r="N150" s="40">
        <v>405</v>
      </c>
      <c r="O150" s="43">
        <f>P150+Q150+R150</f>
        <v>405</v>
      </c>
      <c r="P150" s="40">
        <v>405</v>
      </c>
      <c r="Q150" s="40"/>
      <c r="R150" s="40"/>
      <c r="S150" s="76">
        <f t="shared" si="10"/>
        <v>3583.36</v>
      </c>
      <c r="T150" s="35" t="s">
        <v>293</v>
      </c>
      <c r="U150" s="34" t="s">
        <v>289</v>
      </c>
      <c r="V150" s="35" t="s">
        <v>195</v>
      </c>
      <c r="W150" s="35" t="s">
        <v>29</v>
      </c>
      <c r="X150" s="34" t="s">
        <v>29</v>
      </c>
      <c r="Y150" s="77" t="e">
        <f>#REF!-H150</f>
        <v>#REF!</v>
      </c>
      <c r="Z150" s="78" t="e">
        <f>#REF!-J150</f>
        <v>#REF!</v>
      </c>
      <c r="AA150" s="79" t="e">
        <f>#REF!-L150</f>
        <v>#REF!</v>
      </c>
      <c r="AB150" s="78" t="e">
        <f>#REF!-N150</f>
        <v>#REF!</v>
      </c>
      <c r="AC150" s="77" t="e">
        <f>(#REF!+#REF!)-S150</f>
        <v>#REF!</v>
      </c>
      <c r="AD150" s="80" t="e">
        <f>AC150/(#REF!+#REF!)*100</f>
        <v>#REF!</v>
      </c>
      <c r="AG150" s="81"/>
      <c r="AH150" s="33" t="s">
        <v>34</v>
      </c>
    </row>
    <row r="151" spans="1:34" s="69" customFormat="1" x14ac:dyDescent="0.3">
      <c r="A151" s="101">
        <v>149</v>
      </c>
      <c r="B151" s="34" t="s">
        <v>26</v>
      </c>
      <c r="C151" s="34" t="s">
        <v>287</v>
      </c>
      <c r="D151" s="35" t="s">
        <v>294</v>
      </c>
      <c r="E151" s="35" t="s">
        <v>29</v>
      </c>
      <c r="F151" s="36" t="s">
        <v>30</v>
      </c>
      <c r="G151" s="37" t="s">
        <v>31</v>
      </c>
      <c r="H151" s="38">
        <f t="shared" si="8"/>
        <v>4759.8900000000003</v>
      </c>
      <c r="I151" s="39"/>
      <c r="J151" s="40">
        <v>4017.29</v>
      </c>
      <c r="K151" s="41">
        <f t="shared" si="11"/>
        <v>4017.29</v>
      </c>
      <c r="L151" s="42">
        <v>0</v>
      </c>
      <c r="M151" s="42"/>
      <c r="N151" s="40">
        <v>742.62</v>
      </c>
      <c r="O151" s="43">
        <f t="shared" si="9"/>
        <v>742.6</v>
      </c>
      <c r="P151" s="40">
        <v>720</v>
      </c>
      <c r="Q151" s="40">
        <v>22.6</v>
      </c>
      <c r="R151" s="40"/>
      <c r="S151" s="76">
        <f t="shared" si="10"/>
        <v>4017.29</v>
      </c>
      <c r="T151" s="35" t="s">
        <v>295</v>
      </c>
      <c r="U151" s="34" t="s">
        <v>289</v>
      </c>
      <c r="V151" s="35" t="s">
        <v>294</v>
      </c>
      <c r="W151" s="35" t="s">
        <v>29</v>
      </c>
      <c r="X151" s="34" t="s">
        <v>29</v>
      </c>
      <c r="Y151" s="77" t="e">
        <f>#REF!-H151</f>
        <v>#REF!</v>
      </c>
      <c r="Z151" s="78" t="e">
        <f>#REF!-J151</f>
        <v>#REF!</v>
      </c>
      <c r="AA151" s="79" t="e">
        <f>#REF!-L151</f>
        <v>#REF!</v>
      </c>
      <c r="AB151" s="78" t="e">
        <f>#REF!-N151</f>
        <v>#REF!</v>
      </c>
      <c r="AC151" s="77" t="e">
        <f>(#REF!+#REF!)-S151</f>
        <v>#REF!</v>
      </c>
      <c r="AD151" s="80" t="e">
        <f>AC151/(#REF!+#REF!)*100</f>
        <v>#REF!</v>
      </c>
      <c r="AG151" s="81"/>
      <c r="AH151" s="33" t="s">
        <v>34</v>
      </c>
    </row>
    <row r="152" spans="1:34" s="69" customFormat="1" x14ac:dyDescent="0.3">
      <c r="A152" s="75">
        <v>150</v>
      </c>
      <c r="B152" s="34" t="s">
        <v>26</v>
      </c>
      <c r="C152" s="34" t="s">
        <v>287</v>
      </c>
      <c r="D152" s="35" t="s">
        <v>109</v>
      </c>
      <c r="E152" s="35" t="s">
        <v>29</v>
      </c>
      <c r="F152" s="36" t="s">
        <v>30</v>
      </c>
      <c r="G152" s="37" t="s">
        <v>31</v>
      </c>
      <c r="H152" s="38">
        <f t="shared" si="8"/>
        <v>2008.25</v>
      </c>
      <c r="I152" s="39"/>
      <c r="J152" s="40">
        <v>1750.55</v>
      </c>
      <c r="K152" s="41">
        <f t="shared" si="11"/>
        <v>1750.55</v>
      </c>
      <c r="L152" s="42">
        <v>21.7</v>
      </c>
      <c r="M152" s="42">
        <v>21.7</v>
      </c>
      <c r="N152" s="42">
        <v>262.2</v>
      </c>
      <c r="O152" s="43">
        <f t="shared" si="9"/>
        <v>236</v>
      </c>
      <c r="P152" s="42">
        <v>236</v>
      </c>
      <c r="Q152" s="42"/>
      <c r="R152" s="42"/>
      <c r="S152" s="76">
        <f t="shared" si="10"/>
        <v>1772.25</v>
      </c>
      <c r="T152" s="35" t="s">
        <v>296</v>
      </c>
      <c r="U152" s="34" t="s">
        <v>289</v>
      </c>
      <c r="V152" s="35" t="s">
        <v>109</v>
      </c>
      <c r="W152" s="35" t="s">
        <v>29</v>
      </c>
      <c r="X152" s="34" t="s">
        <v>29</v>
      </c>
      <c r="Y152" s="77" t="e">
        <f>#REF!-H152</f>
        <v>#REF!</v>
      </c>
      <c r="Z152" s="78" t="e">
        <f>#REF!-J152</f>
        <v>#REF!</v>
      </c>
      <c r="AA152" s="79" t="e">
        <f>#REF!-L152</f>
        <v>#REF!</v>
      </c>
      <c r="AB152" s="78" t="e">
        <f>#REF!-N152</f>
        <v>#REF!</v>
      </c>
      <c r="AC152" s="77" t="e">
        <f>(#REF!+#REF!)-S152</f>
        <v>#REF!</v>
      </c>
      <c r="AD152" s="80" t="e">
        <f>AC152/(#REF!+#REF!)*100</f>
        <v>#REF!</v>
      </c>
      <c r="AG152" s="81"/>
      <c r="AH152" s="33" t="s">
        <v>34</v>
      </c>
    </row>
    <row r="153" spans="1:34" s="69" customFormat="1" x14ac:dyDescent="0.3">
      <c r="A153" s="75">
        <v>151</v>
      </c>
      <c r="B153" s="34" t="s">
        <v>26</v>
      </c>
      <c r="C153" s="34" t="s">
        <v>287</v>
      </c>
      <c r="D153" s="35" t="s">
        <v>109</v>
      </c>
      <c r="E153" s="35" t="s">
        <v>29</v>
      </c>
      <c r="F153" s="36" t="s">
        <v>56</v>
      </c>
      <c r="G153" s="37" t="s">
        <v>31</v>
      </c>
      <c r="H153" s="38">
        <f t="shared" si="8"/>
        <v>514</v>
      </c>
      <c r="I153" s="39"/>
      <c r="J153" s="40">
        <v>361.5</v>
      </c>
      <c r="K153" s="41">
        <f t="shared" si="11"/>
        <v>361.5</v>
      </c>
      <c r="L153" s="42">
        <v>48.5</v>
      </c>
      <c r="M153" s="42">
        <v>48.5</v>
      </c>
      <c r="N153" s="42">
        <v>153.9</v>
      </c>
      <c r="O153" s="43">
        <f t="shared" si="9"/>
        <v>104</v>
      </c>
      <c r="P153" s="42">
        <v>104</v>
      </c>
      <c r="Q153" s="42"/>
      <c r="R153" s="42"/>
      <c r="S153" s="76">
        <f t="shared" si="10"/>
        <v>410</v>
      </c>
      <c r="T153" s="35" t="s">
        <v>297</v>
      </c>
      <c r="U153" s="34" t="s">
        <v>289</v>
      </c>
      <c r="V153" s="35" t="s">
        <v>109</v>
      </c>
      <c r="W153" s="35" t="s">
        <v>29</v>
      </c>
      <c r="X153" s="34" t="s">
        <v>29</v>
      </c>
      <c r="Y153" s="77" t="e">
        <f>#REF!-H153</f>
        <v>#REF!</v>
      </c>
      <c r="Z153" s="78" t="e">
        <f>#REF!-J153</f>
        <v>#REF!</v>
      </c>
      <c r="AA153" s="79" t="e">
        <f>#REF!-L153</f>
        <v>#REF!</v>
      </c>
      <c r="AB153" s="78" t="e">
        <f>#REF!-N153</f>
        <v>#REF!</v>
      </c>
      <c r="AC153" s="77" t="e">
        <f>(#REF!+#REF!)-S153</f>
        <v>#REF!</v>
      </c>
      <c r="AD153" s="80" t="e">
        <f>AC153/(#REF!+#REF!)*100</f>
        <v>#REF!</v>
      </c>
      <c r="AG153" s="81"/>
      <c r="AH153" s="33" t="s">
        <v>34</v>
      </c>
    </row>
    <row r="154" spans="1:34" s="69" customFormat="1" x14ac:dyDescent="0.3">
      <c r="A154" s="101">
        <v>152</v>
      </c>
      <c r="B154" s="34" t="s">
        <v>26</v>
      </c>
      <c r="C154" s="34" t="s">
        <v>287</v>
      </c>
      <c r="D154" s="35" t="s">
        <v>202</v>
      </c>
      <c r="E154" s="35" t="s">
        <v>29</v>
      </c>
      <c r="F154" s="36" t="s">
        <v>30</v>
      </c>
      <c r="G154" s="37" t="s">
        <v>31</v>
      </c>
      <c r="H154" s="38">
        <f t="shared" si="8"/>
        <v>3788</v>
      </c>
      <c r="I154" s="39"/>
      <c r="J154" s="40">
        <v>3455.86</v>
      </c>
      <c r="K154" s="41">
        <f t="shared" si="11"/>
        <v>3455.86</v>
      </c>
      <c r="L154" s="42">
        <v>0</v>
      </c>
      <c r="M154" s="42"/>
      <c r="N154" s="40">
        <v>450.14</v>
      </c>
      <c r="O154" s="43">
        <f t="shared" si="9"/>
        <v>332.14</v>
      </c>
      <c r="P154" s="40">
        <v>300</v>
      </c>
      <c r="Q154" s="40">
        <v>32.14</v>
      </c>
      <c r="R154" s="40"/>
      <c r="S154" s="76">
        <f t="shared" si="10"/>
        <v>3455.86</v>
      </c>
      <c r="T154" s="35" t="s">
        <v>298</v>
      </c>
      <c r="U154" s="34" t="s">
        <v>289</v>
      </c>
      <c r="V154" s="35" t="s">
        <v>202</v>
      </c>
      <c r="W154" s="35" t="s">
        <v>29</v>
      </c>
      <c r="X154" s="34" t="s">
        <v>29</v>
      </c>
      <c r="Y154" s="77" t="e">
        <f>#REF!-H154</f>
        <v>#REF!</v>
      </c>
      <c r="Z154" s="78" t="e">
        <f>#REF!-J154</f>
        <v>#REF!</v>
      </c>
      <c r="AA154" s="79" t="e">
        <f>#REF!-L154</f>
        <v>#REF!</v>
      </c>
      <c r="AB154" s="78" t="e">
        <f>#REF!-N154</f>
        <v>#REF!</v>
      </c>
      <c r="AC154" s="77" t="e">
        <f>(#REF!+#REF!)-S154</f>
        <v>#REF!</v>
      </c>
      <c r="AD154" s="80" t="e">
        <f>AC154/(#REF!+#REF!)*100</f>
        <v>#REF!</v>
      </c>
      <c r="AG154" s="81"/>
      <c r="AH154" s="33" t="s">
        <v>34</v>
      </c>
    </row>
    <row r="155" spans="1:34" s="69" customFormat="1" x14ac:dyDescent="0.3">
      <c r="A155" s="75">
        <v>153</v>
      </c>
      <c r="B155" s="34" t="s">
        <v>26</v>
      </c>
      <c r="C155" s="34" t="s">
        <v>287</v>
      </c>
      <c r="D155" s="35" t="s">
        <v>116</v>
      </c>
      <c r="E155" s="35" t="s">
        <v>29</v>
      </c>
      <c r="F155" s="36" t="s">
        <v>30</v>
      </c>
      <c r="G155" s="37" t="s">
        <v>31</v>
      </c>
      <c r="H155" s="38">
        <f t="shared" si="8"/>
        <v>3114.9</v>
      </c>
      <c r="I155" s="39"/>
      <c r="J155" s="40">
        <v>2373.5</v>
      </c>
      <c r="K155" s="41">
        <f t="shared" si="11"/>
        <v>2373.5</v>
      </c>
      <c r="L155" s="42">
        <v>413.4</v>
      </c>
      <c r="M155" s="42"/>
      <c r="N155" s="40">
        <v>394</v>
      </c>
      <c r="O155" s="43">
        <f t="shared" si="9"/>
        <v>328</v>
      </c>
      <c r="P155" s="40">
        <v>295.8</v>
      </c>
      <c r="Q155" s="40">
        <f>32.2-16.9</f>
        <v>15.300000000000004</v>
      </c>
      <c r="R155" s="40">
        <v>16.899999999999999</v>
      </c>
      <c r="S155" s="76">
        <f t="shared" si="10"/>
        <v>2786.9</v>
      </c>
      <c r="T155" s="35" t="s">
        <v>299</v>
      </c>
      <c r="U155" s="34" t="s">
        <v>289</v>
      </c>
      <c r="V155" s="35" t="s">
        <v>116</v>
      </c>
      <c r="W155" s="35" t="s">
        <v>29</v>
      </c>
      <c r="X155" s="34" t="s">
        <v>29</v>
      </c>
      <c r="Y155" s="77" t="e">
        <f>#REF!-H155</f>
        <v>#REF!</v>
      </c>
      <c r="Z155" s="78" t="e">
        <f>#REF!-J155</f>
        <v>#REF!</v>
      </c>
      <c r="AA155" s="79" t="e">
        <f>#REF!-L155</f>
        <v>#REF!</v>
      </c>
      <c r="AB155" s="78" t="e">
        <f>#REF!-N155</f>
        <v>#REF!</v>
      </c>
      <c r="AC155" s="77" t="e">
        <f>(#REF!+#REF!)-S155</f>
        <v>#REF!</v>
      </c>
      <c r="AD155" s="80" t="e">
        <f>AC155/(#REF!+#REF!)*100</f>
        <v>#REF!</v>
      </c>
      <c r="AG155" s="81"/>
      <c r="AH155" s="33" t="s">
        <v>34</v>
      </c>
    </row>
    <row r="156" spans="1:34" s="69" customFormat="1" x14ac:dyDescent="0.3">
      <c r="A156" s="75">
        <v>154</v>
      </c>
      <c r="B156" s="34" t="s">
        <v>26</v>
      </c>
      <c r="C156" s="34" t="s">
        <v>287</v>
      </c>
      <c r="D156" s="35" t="s">
        <v>274</v>
      </c>
      <c r="E156" s="35" t="s">
        <v>29</v>
      </c>
      <c r="F156" s="36" t="s">
        <v>30</v>
      </c>
      <c r="G156" s="37" t="s">
        <v>31</v>
      </c>
      <c r="H156" s="38">
        <f t="shared" si="8"/>
        <v>4412.6100000000006</v>
      </c>
      <c r="I156" s="39"/>
      <c r="J156" s="40">
        <v>3413.61</v>
      </c>
      <c r="K156" s="41">
        <f t="shared" si="11"/>
        <v>3413.61</v>
      </c>
      <c r="L156" s="42">
        <v>414.9</v>
      </c>
      <c r="M156" s="42"/>
      <c r="N156" s="40">
        <v>494</v>
      </c>
      <c r="O156" s="43">
        <f t="shared" si="9"/>
        <v>584.09999999999991</v>
      </c>
      <c r="P156" s="40">
        <v>535.29999999999995</v>
      </c>
      <c r="Q156" s="40">
        <f>32.4+16.4</f>
        <v>48.8</v>
      </c>
      <c r="R156" s="40"/>
      <c r="S156" s="76">
        <f t="shared" si="10"/>
        <v>3828.51</v>
      </c>
      <c r="T156" s="35" t="s">
        <v>300</v>
      </c>
      <c r="U156" s="34" t="s">
        <v>289</v>
      </c>
      <c r="V156" s="35" t="s">
        <v>274</v>
      </c>
      <c r="W156" s="35" t="s">
        <v>29</v>
      </c>
      <c r="X156" s="34" t="s">
        <v>29</v>
      </c>
      <c r="Y156" s="77" t="e">
        <f>#REF!-H156</f>
        <v>#REF!</v>
      </c>
      <c r="Z156" s="78" t="e">
        <f>#REF!-J156</f>
        <v>#REF!</v>
      </c>
      <c r="AA156" s="79" t="e">
        <f>#REF!-L156</f>
        <v>#REF!</v>
      </c>
      <c r="AB156" s="78" t="e">
        <f>#REF!-N156</f>
        <v>#REF!</v>
      </c>
      <c r="AC156" s="77" t="e">
        <f>(#REF!+#REF!)-S156</f>
        <v>#REF!</v>
      </c>
      <c r="AD156" s="80" t="e">
        <f>AC156/(#REF!+#REF!)*100</f>
        <v>#REF!</v>
      </c>
      <c r="AG156" s="81"/>
      <c r="AH156" s="33" t="s">
        <v>34</v>
      </c>
    </row>
    <row r="157" spans="1:34" s="69" customFormat="1" ht="21" x14ac:dyDescent="0.3">
      <c r="A157" s="234">
        <v>155</v>
      </c>
      <c r="B157" s="82" t="s">
        <v>26</v>
      </c>
      <c r="C157" s="82" t="s">
        <v>287</v>
      </c>
      <c r="D157" s="83" t="s">
        <v>122</v>
      </c>
      <c r="E157" s="83" t="s">
        <v>29</v>
      </c>
      <c r="F157" s="84" t="s">
        <v>30</v>
      </c>
      <c r="G157" s="85" t="s">
        <v>31</v>
      </c>
      <c r="H157" s="86">
        <f t="shared" si="8"/>
        <v>4621.1899999999996</v>
      </c>
      <c r="I157" s="87"/>
      <c r="J157" s="88">
        <v>3986.79</v>
      </c>
      <c r="K157" s="89">
        <f t="shared" si="11"/>
        <v>3986.79</v>
      </c>
      <c r="L157" s="90">
        <v>0</v>
      </c>
      <c r="M157" s="90"/>
      <c r="N157" s="88">
        <v>418.47</v>
      </c>
      <c r="O157" s="91">
        <f t="shared" si="9"/>
        <v>634.4</v>
      </c>
      <c r="P157" s="88">
        <v>377</v>
      </c>
      <c r="Q157" s="88">
        <v>41.5</v>
      </c>
      <c r="R157" s="88">
        <v>215.9</v>
      </c>
      <c r="S157" s="92">
        <f t="shared" si="10"/>
        <v>3986.79</v>
      </c>
      <c r="T157" s="93" t="s">
        <v>57</v>
      </c>
      <c r="U157" s="82" t="s">
        <v>289</v>
      </c>
      <c r="V157" s="83" t="s">
        <v>122</v>
      </c>
      <c r="W157" s="83" t="s">
        <v>29</v>
      </c>
      <c r="X157" s="82" t="s">
        <v>29</v>
      </c>
      <c r="Y157" s="94" t="e">
        <f>#REF!-H157</f>
        <v>#REF!</v>
      </c>
      <c r="Z157" s="95" t="e">
        <f>#REF!-J157</f>
        <v>#REF!</v>
      </c>
      <c r="AA157" s="96" t="e">
        <f>#REF!-L157</f>
        <v>#REF!</v>
      </c>
      <c r="AB157" s="95" t="e">
        <f>#REF!-N157</f>
        <v>#REF!</v>
      </c>
      <c r="AC157" s="94" t="e">
        <f>(#REF!+#REF!)-S157</f>
        <v>#REF!</v>
      </c>
      <c r="AD157" s="97" t="e">
        <f>AC157/(#REF!+#REF!)*100</f>
        <v>#REF!</v>
      </c>
      <c r="AE157" s="98"/>
      <c r="AF157" s="98"/>
      <c r="AG157" s="99"/>
      <c r="AH157" s="100" t="s">
        <v>95</v>
      </c>
    </row>
    <row r="158" spans="1:34" s="69" customFormat="1" x14ac:dyDescent="0.3">
      <c r="A158" s="75">
        <v>156</v>
      </c>
      <c r="B158" s="34" t="s">
        <v>26</v>
      </c>
      <c r="C158" s="34" t="s">
        <v>301</v>
      </c>
      <c r="D158" s="35" t="s">
        <v>302</v>
      </c>
      <c r="E158" s="35" t="s">
        <v>29</v>
      </c>
      <c r="F158" s="36" t="s">
        <v>30</v>
      </c>
      <c r="G158" s="37" t="s">
        <v>31</v>
      </c>
      <c r="H158" s="38">
        <f t="shared" si="8"/>
        <v>1137.44</v>
      </c>
      <c r="I158" s="39"/>
      <c r="J158" s="40">
        <v>1068.94</v>
      </c>
      <c r="K158" s="41">
        <f t="shared" si="11"/>
        <v>1068.94</v>
      </c>
      <c r="L158" s="42">
        <v>0</v>
      </c>
      <c r="M158" s="42"/>
      <c r="N158" s="42">
        <v>68.5</v>
      </c>
      <c r="O158" s="43">
        <f t="shared" si="9"/>
        <v>68.5</v>
      </c>
      <c r="P158" s="42">
        <v>68.5</v>
      </c>
      <c r="Q158" s="42"/>
      <c r="R158" s="42"/>
      <c r="S158" s="76">
        <f t="shared" si="10"/>
        <v>1068.94</v>
      </c>
      <c r="T158" s="35" t="s">
        <v>303</v>
      </c>
      <c r="U158" s="34" t="s">
        <v>304</v>
      </c>
      <c r="V158" s="35" t="s">
        <v>302</v>
      </c>
      <c r="W158" s="35" t="s">
        <v>29</v>
      </c>
      <c r="X158" s="34" t="s">
        <v>29</v>
      </c>
      <c r="Y158" s="77" t="e">
        <f>#REF!-H158</f>
        <v>#REF!</v>
      </c>
      <c r="Z158" s="78" t="e">
        <f>#REF!-J158</f>
        <v>#REF!</v>
      </c>
      <c r="AA158" s="79" t="e">
        <f>#REF!-L158</f>
        <v>#REF!</v>
      </c>
      <c r="AB158" s="78" t="e">
        <f>#REF!-N158</f>
        <v>#REF!</v>
      </c>
      <c r="AC158" s="77" t="e">
        <f>(#REF!+#REF!)-S158</f>
        <v>#REF!</v>
      </c>
      <c r="AD158" s="80" t="e">
        <f>AC158/(#REF!+#REF!)*100</f>
        <v>#REF!</v>
      </c>
      <c r="AG158" s="81"/>
      <c r="AH158" s="33" t="s">
        <v>34</v>
      </c>
    </row>
    <row r="159" spans="1:34" s="69" customFormat="1" x14ac:dyDescent="0.3">
      <c r="A159" s="75">
        <v>157</v>
      </c>
      <c r="B159" s="34" t="s">
        <v>26</v>
      </c>
      <c r="C159" s="34" t="s">
        <v>301</v>
      </c>
      <c r="D159" s="35" t="s">
        <v>302</v>
      </c>
      <c r="E159" s="35" t="s">
        <v>29</v>
      </c>
      <c r="F159" s="36" t="s">
        <v>43</v>
      </c>
      <c r="G159" s="37" t="s">
        <v>31</v>
      </c>
      <c r="H159" s="38">
        <f t="shared" si="8"/>
        <v>1104.29</v>
      </c>
      <c r="I159" s="39"/>
      <c r="J159" s="40">
        <v>1022.69</v>
      </c>
      <c r="K159" s="41">
        <f t="shared" si="11"/>
        <v>1022.69</v>
      </c>
      <c r="L159" s="42">
        <v>0</v>
      </c>
      <c r="M159" s="42"/>
      <c r="N159" s="42">
        <v>81.599999999999994</v>
      </c>
      <c r="O159" s="43">
        <f t="shared" si="9"/>
        <v>81.599999999999994</v>
      </c>
      <c r="P159" s="42">
        <v>70.3</v>
      </c>
      <c r="Q159" s="42">
        <v>11.3</v>
      </c>
      <c r="R159" s="42"/>
      <c r="S159" s="76">
        <f t="shared" si="10"/>
        <v>1022.69</v>
      </c>
      <c r="T159" s="35" t="s">
        <v>305</v>
      </c>
      <c r="U159" s="34" t="s">
        <v>304</v>
      </c>
      <c r="V159" s="35" t="s">
        <v>302</v>
      </c>
      <c r="W159" s="35" t="s">
        <v>29</v>
      </c>
      <c r="X159" s="34" t="s">
        <v>29</v>
      </c>
      <c r="Y159" s="77" t="e">
        <f>#REF!-H159</f>
        <v>#REF!</v>
      </c>
      <c r="Z159" s="78" t="e">
        <f>#REF!-J159</f>
        <v>#REF!</v>
      </c>
      <c r="AA159" s="79" t="e">
        <f>#REF!-L159</f>
        <v>#REF!</v>
      </c>
      <c r="AB159" s="78" t="e">
        <f>#REF!-N159</f>
        <v>#REF!</v>
      </c>
      <c r="AC159" s="77" t="e">
        <f>(#REF!+#REF!)-S159</f>
        <v>#REF!</v>
      </c>
      <c r="AD159" s="80" t="e">
        <f>AC159/(#REF!+#REF!)*100</f>
        <v>#REF!</v>
      </c>
      <c r="AG159" s="81"/>
      <c r="AH159" s="33" t="s">
        <v>34</v>
      </c>
    </row>
    <row r="160" spans="1:34" s="69" customFormat="1" x14ac:dyDescent="0.3">
      <c r="A160" s="101">
        <v>158</v>
      </c>
      <c r="B160" s="34" t="s">
        <v>26</v>
      </c>
      <c r="C160" s="34" t="s">
        <v>301</v>
      </c>
      <c r="D160" s="35" t="s">
        <v>78</v>
      </c>
      <c r="E160" s="35" t="s">
        <v>29</v>
      </c>
      <c r="F160" s="36" t="s">
        <v>30</v>
      </c>
      <c r="G160" s="37" t="s">
        <v>31</v>
      </c>
      <c r="H160" s="38">
        <f t="shared" si="8"/>
        <v>2392.4</v>
      </c>
      <c r="I160" s="39"/>
      <c r="J160" s="40">
        <v>1752</v>
      </c>
      <c r="K160" s="41">
        <f t="shared" si="11"/>
        <v>1752</v>
      </c>
      <c r="L160" s="42">
        <v>241.4</v>
      </c>
      <c r="M160" s="42"/>
      <c r="N160" s="40">
        <v>170.22</v>
      </c>
      <c r="O160" s="43">
        <f t="shared" si="9"/>
        <v>399</v>
      </c>
      <c r="P160" s="40">
        <v>277</v>
      </c>
      <c r="Q160" s="40">
        <v>52.4</v>
      </c>
      <c r="R160" s="40">
        <v>69.599999999999994</v>
      </c>
      <c r="S160" s="76">
        <f t="shared" si="10"/>
        <v>1993.4</v>
      </c>
      <c r="T160" s="35" t="s">
        <v>306</v>
      </c>
      <c r="U160" s="34" t="s">
        <v>304</v>
      </c>
      <c r="V160" s="35" t="s">
        <v>78</v>
      </c>
      <c r="W160" s="35" t="s">
        <v>29</v>
      </c>
      <c r="X160" s="34" t="s">
        <v>29</v>
      </c>
      <c r="Y160" s="77" t="e">
        <f>#REF!-H160</f>
        <v>#REF!</v>
      </c>
      <c r="Z160" s="78" t="e">
        <f>#REF!-J160</f>
        <v>#REF!</v>
      </c>
      <c r="AA160" s="79" t="e">
        <f>#REF!-L160</f>
        <v>#REF!</v>
      </c>
      <c r="AB160" s="78" t="e">
        <f>#REF!-N160</f>
        <v>#REF!</v>
      </c>
      <c r="AC160" s="77" t="e">
        <f>(#REF!+#REF!)-S160</f>
        <v>#REF!</v>
      </c>
      <c r="AD160" s="80" t="e">
        <f>AC160/(#REF!+#REF!)*100</f>
        <v>#REF!</v>
      </c>
      <c r="AG160" s="81"/>
      <c r="AH160" s="33" t="s">
        <v>34</v>
      </c>
    </row>
    <row r="161" spans="1:34" s="69" customFormat="1" x14ac:dyDescent="0.3">
      <c r="A161" s="75">
        <v>159</v>
      </c>
      <c r="B161" s="34" t="s">
        <v>26</v>
      </c>
      <c r="C161" s="34" t="s">
        <v>301</v>
      </c>
      <c r="D161" s="35" t="s">
        <v>77</v>
      </c>
      <c r="E161" s="35" t="s">
        <v>29</v>
      </c>
      <c r="F161" s="36" t="s">
        <v>30</v>
      </c>
      <c r="G161" s="37" t="s">
        <v>31</v>
      </c>
      <c r="H161" s="38">
        <f t="shared" si="8"/>
        <v>3158.4700000000003</v>
      </c>
      <c r="I161" s="39">
        <v>0</v>
      </c>
      <c r="J161" s="40">
        <v>2357.17</v>
      </c>
      <c r="K161" s="41">
        <f t="shared" si="11"/>
        <v>2357.17</v>
      </c>
      <c r="L161" s="42">
        <v>0</v>
      </c>
      <c r="M161" s="42"/>
      <c r="N161" s="40">
        <v>777.14</v>
      </c>
      <c r="O161" s="43">
        <f t="shared" si="9"/>
        <v>801.3</v>
      </c>
      <c r="P161" s="40">
        <v>277</v>
      </c>
      <c r="Q161" s="40">
        <v>26.5</v>
      </c>
      <c r="R161" s="40">
        <v>497.8</v>
      </c>
      <c r="S161" s="76">
        <f t="shared" si="10"/>
        <v>2357.17</v>
      </c>
      <c r="T161" s="35" t="s">
        <v>307</v>
      </c>
      <c r="U161" s="34" t="s">
        <v>304</v>
      </c>
      <c r="V161" s="35" t="s">
        <v>77</v>
      </c>
      <c r="W161" s="35" t="s">
        <v>29</v>
      </c>
      <c r="X161" s="34" t="s">
        <v>29</v>
      </c>
      <c r="Y161" s="77" t="e">
        <f>#REF!-H161</f>
        <v>#REF!</v>
      </c>
      <c r="Z161" s="78" t="e">
        <f>#REF!-J161</f>
        <v>#REF!</v>
      </c>
      <c r="AA161" s="79" t="e">
        <f>#REF!-L161</f>
        <v>#REF!</v>
      </c>
      <c r="AB161" s="78" t="e">
        <f>#REF!-N161</f>
        <v>#REF!</v>
      </c>
      <c r="AC161" s="77" t="e">
        <f>(#REF!+#REF!)-S161</f>
        <v>#REF!</v>
      </c>
      <c r="AD161" s="80" t="e">
        <f>AC161/(#REF!+#REF!)*100</f>
        <v>#REF!</v>
      </c>
      <c r="AG161" s="81"/>
      <c r="AH161" s="33" t="s">
        <v>34</v>
      </c>
    </row>
    <row r="162" spans="1:34" x14ac:dyDescent="0.3">
      <c r="A162" s="230">
        <v>160</v>
      </c>
      <c r="B162" s="51" t="s">
        <v>308</v>
      </c>
      <c r="C162" s="51" t="s">
        <v>309</v>
      </c>
      <c r="D162" s="52" t="s">
        <v>83</v>
      </c>
      <c r="E162" s="52" t="s">
        <v>29</v>
      </c>
      <c r="F162" s="53" t="s">
        <v>30</v>
      </c>
      <c r="G162" s="54"/>
      <c r="H162" s="55">
        <f t="shared" si="8"/>
        <v>6428.38</v>
      </c>
      <c r="I162" s="56"/>
      <c r="J162" s="57">
        <f>4785.48</f>
        <v>4785.4799999999996</v>
      </c>
      <c r="K162" s="58">
        <f t="shared" si="11"/>
        <v>4785.4799999999996</v>
      </c>
      <c r="L162" s="59">
        <f>560.9+170.7</f>
        <v>731.59999999999991</v>
      </c>
      <c r="M162" s="59"/>
      <c r="N162" s="57">
        <v>628</v>
      </c>
      <c r="O162" s="60">
        <f t="shared" si="9"/>
        <v>911.3</v>
      </c>
      <c r="P162" s="57">
        <v>628</v>
      </c>
      <c r="Q162" s="57">
        <v>0</v>
      </c>
      <c r="R162" s="57">
        <v>283.3</v>
      </c>
      <c r="S162" s="61">
        <f t="shared" si="10"/>
        <v>5517.08</v>
      </c>
      <c r="T162" s="52" t="s">
        <v>310</v>
      </c>
      <c r="U162" s="51" t="s">
        <v>311</v>
      </c>
      <c r="V162" s="52" t="s">
        <v>83</v>
      </c>
      <c r="W162" s="52" t="s">
        <v>29</v>
      </c>
      <c r="X162" s="51" t="s">
        <v>29</v>
      </c>
      <c r="Y162" s="62" t="e">
        <f>#REF!-H162</f>
        <v>#REF!</v>
      </c>
      <c r="Z162" s="63" t="e">
        <f>#REF!-J162</f>
        <v>#REF!</v>
      </c>
      <c r="AA162" s="64" t="e">
        <f>#REF!-L162</f>
        <v>#REF!</v>
      </c>
      <c r="AB162" s="63" t="e">
        <f>#REF!-N162</f>
        <v>#REF!</v>
      </c>
      <c r="AC162" s="62" t="e">
        <f>(#REF!+#REF!)-S162</f>
        <v>#REF!</v>
      </c>
      <c r="AD162" s="65" t="e">
        <f>AC162/(#REF!+#REF!)*100</f>
        <v>#REF!</v>
      </c>
      <c r="AE162" s="66"/>
      <c r="AF162" s="66"/>
      <c r="AG162" s="67" t="s">
        <v>248</v>
      </c>
      <c r="AH162" s="68" t="s">
        <v>39</v>
      </c>
    </row>
    <row r="163" spans="1:34" x14ac:dyDescent="0.3">
      <c r="A163" s="232">
        <v>161</v>
      </c>
      <c r="B163" s="51" t="s">
        <v>308</v>
      </c>
      <c r="C163" s="51" t="s">
        <v>309</v>
      </c>
      <c r="D163" s="52" t="s">
        <v>195</v>
      </c>
      <c r="E163" s="52" t="s">
        <v>29</v>
      </c>
      <c r="F163" s="53" t="s">
        <v>30</v>
      </c>
      <c r="G163" s="54"/>
      <c r="H163" s="55">
        <f t="shared" si="8"/>
        <v>5525.1</v>
      </c>
      <c r="I163" s="56"/>
      <c r="J163" s="112">
        <v>4666.3</v>
      </c>
      <c r="K163" s="58">
        <f t="shared" si="11"/>
        <v>4666.3</v>
      </c>
      <c r="L163" s="59">
        <v>361</v>
      </c>
      <c r="M163" s="59"/>
      <c r="N163" s="57">
        <v>765.03</v>
      </c>
      <c r="O163" s="60">
        <f t="shared" si="9"/>
        <v>497.8</v>
      </c>
      <c r="P163" s="57">
        <v>484.3</v>
      </c>
      <c r="Q163" s="57">
        <v>13.5</v>
      </c>
      <c r="R163" s="57"/>
      <c r="S163" s="61">
        <f t="shared" si="10"/>
        <v>5027.3</v>
      </c>
      <c r="T163" s="52" t="s">
        <v>312</v>
      </c>
      <c r="U163" s="51" t="s">
        <v>311</v>
      </c>
      <c r="V163" s="52" t="s">
        <v>195</v>
      </c>
      <c r="W163" s="52" t="s">
        <v>29</v>
      </c>
      <c r="X163" s="51" t="s">
        <v>29</v>
      </c>
      <c r="Y163" s="62" t="e">
        <f>#REF!-H163</f>
        <v>#REF!</v>
      </c>
      <c r="Z163" s="63" t="e">
        <f>#REF!-J163</f>
        <v>#REF!</v>
      </c>
      <c r="AA163" s="64" t="e">
        <f>#REF!-L163</f>
        <v>#REF!</v>
      </c>
      <c r="AB163" s="63" t="e">
        <f>#REF!-N163</f>
        <v>#REF!</v>
      </c>
      <c r="AC163" s="62" t="e">
        <f>(#REF!+#REF!)-S163</f>
        <v>#REF!</v>
      </c>
      <c r="AD163" s="65" t="e">
        <f>AC163/(#REF!+#REF!)*100</f>
        <v>#REF!</v>
      </c>
      <c r="AE163" s="66"/>
      <c r="AF163" s="66"/>
      <c r="AG163" s="67"/>
      <c r="AH163" s="68" t="s">
        <v>39</v>
      </c>
    </row>
    <row r="164" spans="1:34" s="69" customFormat="1" ht="21" x14ac:dyDescent="0.3">
      <c r="A164" s="233">
        <v>162</v>
      </c>
      <c r="B164" s="82" t="s">
        <v>26</v>
      </c>
      <c r="C164" s="82" t="s">
        <v>313</v>
      </c>
      <c r="D164" s="83" t="s">
        <v>31</v>
      </c>
      <c r="E164" s="83" t="s">
        <v>29</v>
      </c>
      <c r="F164" s="84" t="s">
        <v>30</v>
      </c>
      <c r="G164" s="85"/>
      <c r="H164" s="102">
        <f t="shared" si="8"/>
        <v>5503.4</v>
      </c>
      <c r="I164" s="87"/>
      <c r="J164" s="88">
        <v>3993.9</v>
      </c>
      <c r="K164" s="89">
        <f t="shared" si="11"/>
        <v>3993.9</v>
      </c>
      <c r="L164" s="103">
        <f>771.7-20.3</f>
        <v>751.40000000000009</v>
      </c>
      <c r="M164" s="103">
        <f>12.4+73+81.8+17.2</f>
        <v>184.39999999999998</v>
      </c>
      <c r="N164" s="88">
        <v>670.7</v>
      </c>
      <c r="O164" s="91">
        <f t="shared" si="9"/>
        <v>758.09999999999991</v>
      </c>
      <c r="P164" s="88">
        <v>567</v>
      </c>
      <c r="Q164" s="88">
        <v>45.8</v>
      </c>
      <c r="R164" s="88">
        <v>145.30000000000001</v>
      </c>
      <c r="S164" s="92">
        <f t="shared" si="10"/>
        <v>4745.3</v>
      </c>
      <c r="T164" s="93" t="s">
        <v>57</v>
      </c>
      <c r="U164" s="82" t="s">
        <v>76</v>
      </c>
      <c r="V164" s="83" t="s">
        <v>314</v>
      </c>
      <c r="W164" s="83" t="s">
        <v>29</v>
      </c>
      <c r="X164" s="82" t="s">
        <v>29</v>
      </c>
      <c r="Y164" s="94" t="e">
        <f>#REF!-H164</f>
        <v>#REF!</v>
      </c>
      <c r="Z164" s="95" t="e">
        <f>#REF!-J164</f>
        <v>#REF!</v>
      </c>
      <c r="AA164" s="96" t="e">
        <f>#REF!-L164</f>
        <v>#REF!</v>
      </c>
      <c r="AB164" s="95" t="e">
        <f>#REF!-N164</f>
        <v>#REF!</v>
      </c>
      <c r="AC164" s="94" t="e">
        <f>(#REF!+#REF!)-S164</f>
        <v>#REF!</v>
      </c>
      <c r="AD164" s="97" t="e">
        <f>AC164/(#REF!+#REF!)*100</f>
        <v>#REF!</v>
      </c>
      <c r="AE164" s="98"/>
      <c r="AF164" s="98"/>
      <c r="AG164" s="99"/>
      <c r="AH164" s="100" t="s">
        <v>95</v>
      </c>
    </row>
    <row r="165" spans="1:34" x14ac:dyDescent="0.3">
      <c r="A165" s="230">
        <v>163</v>
      </c>
      <c r="B165" s="34" t="s">
        <v>26</v>
      </c>
      <c r="C165" s="34" t="s">
        <v>313</v>
      </c>
      <c r="D165" s="35" t="s">
        <v>315</v>
      </c>
      <c r="E165" s="35" t="s">
        <v>29</v>
      </c>
      <c r="F165" s="36" t="s">
        <v>30</v>
      </c>
      <c r="G165" s="37"/>
      <c r="H165" s="113">
        <f t="shared" si="8"/>
        <v>2798.35</v>
      </c>
      <c r="I165" s="39"/>
      <c r="J165" s="40">
        <v>2572.35</v>
      </c>
      <c r="K165" s="41">
        <f t="shared" si="11"/>
        <v>2572.35</v>
      </c>
      <c r="L165" s="42">
        <v>0</v>
      </c>
      <c r="M165" s="42"/>
      <c r="N165" s="42">
        <v>226</v>
      </c>
      <c r="O165" s="43">
        <f t="shared" si="9"/>
        <v>226</v>
      </c>
      <c r="P165" s="42">
        <v>226</v>
      </c>
      <c r="Q165" s="42"/>
      <c r="R165" s="42"/>
      <c r="S165" s="44">
        <f t="shared" si="10"/>
        <v>2572.35</v>
      </c>
      <c r="T165" s="35" t="s">
        <v>316</v>
      </c>
      <c r="U165" s="70" t="s">
        <v>76</v>
      </c>
      <c r="V165" s="71" t="s">
        <v>315</v>
      </c>
      <c r="W165" s="71" t="s">
        <v>29</v>
      </c>
      <c r="X165" s="70" t="s">
        <v>29</v>
      </c>
      <c r="Y165" s="72" t="e">
        <f>#REF!-H165</f>
        <v>#REF!</v>
      </c>
      <c r="Z165" s="73" t="e">
        <f>#REF!-J165</f>
        <v>#REF!</v>
      </c>
      <c r="AA165" s="74" t="e">
        <f>#REF!-L165</f>
        <v>#REF!</v>
      </c>
      <c r="AB165" s="73" t="e">
        <f>#REF!-N165</f>
        <v>#REF!</v>
      </c>
      <c r="AC165" s="72" t="e">
        <f>(#REF!+#REF!)-S165</f>
        <v>#REF!</v>
      </c>
      <c r="AD165" s="50" t="e">
        <f>AC165/(#REF!+#REF!)*100</f>
        <v>#REF!</v>
      </c>
      <c r="AH165" s="33" t="s">
        <v>34</v>
      </c>
    </row>
    <row r="166" spans="1:34" x14ac:dyDescent="0.3">
      <c r="A166" s="232">
        <v>164</v>
      </c>
      <c r="B166" s="34" t="s">
        <v>26</v>
      </c>
      <c r="C166" s="34" t="s">
        <v>313</v>
      </c>
      <c r="D166" s="35" t="s">
        <v>315</v>
      </c>
      <c r="E166" s="35" t="s">
        <v>29</v>
      </c>
      <c r="F166" s="36" t="s">
        <v>43</v>
      </c>
      <c r="G166" s="37"/>
      <c r="H166" s="113">
        <f t="shared" si="8"/>
        <v>1782.94</v>
      </c>
      <c r="I166" s="39">
        <v>20.87</v>
      </c>
      <c r="J166" s="40">
        <v>1571.17</v>
      </c>
      <c r="K166" s="41">
        <f t="shared" si="11"/>
        <v>1592.04</v>
      </c>
      <c r="L166" s="42">
        <v>0</v>
      </c>
      <c r="M166" s="42"/>
      <c r="N166" s="42">
        <v>190.9</v>
      </c>
      <c r="O166" s="43">
        <f t="shared" si="9"/>
        <v>190.9</v>
      </c>
      <c r="P166" s="42">
        <v>151</v>
      </c>
      <c r="Q166" s="42">
        <v>39.9</v>
      </c>
      <c r="R166" s="42"/>
      <c r="S166" s="44">
        <f t="shared" si="10"/>
        <v>1592.04</v>
      </c>
      <c r="T166" s="35" t="s">
        <v>317</v>
      </c>
      <c r="U166" s="70" t="s">
        <v>76</v>
      </c>
      <c r="V166" s="71" t="s">
        <v>315</v>
      </c>
      <c r="W166" s="71" t="s">
        <v>29</v>
      </c>
      <c r="X166" s="70" t="s">
        <v>29</v>
      </c>
      <c r="Y166" s="72" t="e">
        <f>#REF!-H166</f>
        <v>#REF!</v>
      </c>
      <c r="Z166" s="73" t="e">
        <f>#REF!-J166</f>
        <v>#REF!</v>
      </c>
      <c r="AA166" s="74" t="e">
        <f>#REF!-L166</f>
        <v>#REF!</v>
      </c>
      <c r="AB166" s="73" t="e">
        <f>#REF!-N166</f>
        <v>#REF!</v>
      </c>
      <c r="AC166" s="72" t="e">
        <f>(#REF!+#REF!)-S166</f>
        <v>#REF!</v>
      </c>
      <c r="AD166" s="50" t="e">
        <f>AC166/(#REF!+#REF!)*100</f>
        <v>#REF!</v>
      </c>
      <c r="AH166" s="33" t="s">
        <v>34</v>
      </c>
    </row>
    <row r="167" spans="1:34" x14ac:dyDescent="0.3">
      <c r="A167" s="230">
        <v>165</v>
      </c>
      <c r="B167" s="34" t="s">
        <v>26</v>
      </c>
      <c r="C167" s="34" t="s">
        <v>313</v>
      </c>
      <c r="D167" s="35" t="s">
        <v>241</v>
      </c>
      <c r="E167" s="35" t="s">
        <v>29</v>
      </c>
      <c r="F167" s="36" t="s">
        <v>30</v>
      </c>
      <c r="G167" s="37"/>
      <c r="H167" s="114">
        <f t="shared" si="8"/>
        <v>6879.9600000000009</v>
      </c>
      <c r="I167" s="39"/>
      <c r="J167" s="40">
        <v>5021.26</v>
      </c>
      <c r="K167" s="41">
        <f t="shared" si="11"/>
        <v>5021.26</v>
      </c>
      <c r="L167" s="106">
        <f>651.5+76.6</f>
        <v>728.1</v>
      </c>
      <c r="M167" s="106">
        <f>76.6</f>
        <v>76.599999999999994</v>
      </c>
      <c r="N167" s="40">
        <v>1167.1400000000001</v>
      </c>
      <c r="O167" s="43">
        <f t="shared" si="9"/>
        <v>1130.5999999999999</v>
      </c>
      <c r="P167" s="40">
        <v>1057</v>
      </c>
      <c r="Q167" s="40">
        <v>73.599999999999994</v>
      </c>
      <c r="R167" s="40"/>
      <c r="S167" s="44">
        <f t="shared" si="10"/>
        <v>5749.3600000000006</v>
      </c>
      <c r="T167" s="35" t="s">
        <v>318</v>
      </c>
      <c r="U167" s="70" t="s">
        <v>76</v>
      </c>
      <c r="V167" s="71" t="s">
        <v>241</v>
      </c>
      <c r="W167" s="71" t="s">
        <v>29</v>
      </c>
      <c r="X167" s="70" t="s">
        <v>29</v>
      </c>
      <c r="Y167" s="72" t="e">
        <f>#REF!-H167</f>
        <v>#REF!</v>
      </c>
      <c r="Z167" s="73" t="e">
        <f>#REF!-J167</f>
        <v>#REF!</v>
      </c>
      <c r="AA167" s="74" t="e">
        <f>#REF!-L167</f>
        <v>#REF!</v>
      </c>
      <c r="AB167" s="73" t="e">
        <f>#REF!-N167</f>
        <v>#REF!</v>
      </c>
      <c r="AC167" s="72" t="e">
        <f>(#REF!+#REF!)-S167</f>
        <v>#REF!</v>
      </c>
      <c r="AD167" s="50" t="e">
        <f>AC167/(#REF!+#REF!)*100</f>
        <v>#REF!</v>
      </c>
      <c r="AH167" s="33" t="s">
        <v>34</v>
      </c>
    </row>
    <row r="168" spans="1:34" s="69" customFormat="1" ht="21" x14ac:dyDescent="0.3">
      <c r="A168" s="233">
        <v>166</v>
      </c>
      <c r="B168" s="82" t="s">
        <v>26</v>
      </c>
      <c r="C168" s="82" t="s">
        <v>313</v>
      </c>
      <c r="D168" s="83" t="s">
        <v>319</v>
      </c>
      <c r="E168" s="83" t="s">
        <v>29</v>
      </c>
      <c r="F168" s="84" t="s">
        <v>30</v>
      </c>
      <c r="G168" s="85" t="s">
        <v>31</v>
      </c>
      <c r="H168" s="86">
        <f t="shared" si="8"/>
        <v>3871.7899999999995</v>
      </c>
      <c r="I168" s="87">
        <v>0</v>
      </c>
      <c r="J168" s="88">
        <f>2838.49</f>
        <v>2838.49</v>
      </c>
      <c r="K168" s="89">
        <f t="shared" si="11"/>
        <v>2838.49</v>
      </c>
      <c r="L168" s="90">
        <v>265.2</v>
      </c>
      <c r="M168" s="90"/>
      <c r="N168" s="88">
        <v>687.1</v>
      </c>
      <c r="O168" s="91">
        <f t="shared" si="9"/>
        <v>768.1</v>
      </c>
      <c r="P168" s="88">
        <v>635</v>
      </c>
      <c r="Q168" s="88">
        <v>52.1</v>
      </c>
      <c r="R168" s="88">
        <v>81</v>
      </c>
      <c r="S168" s="92">
        <f t="shared" si="10"/>
        <v>3103.6899999999996</v>
      </c>
      <c r="T168" s="93" t="s">
        <v>57</v>
      </c>
      <c r="U168" s="82" t="s">
        <v>76</v>
      </c>
      <c r="V168" s="83" t="s">
        <v>319</v>
      </c>
      <c r="W168" s="83" t="s">
        <v>29</v>
      </c>
      <c r="X168" s="82" t="s">
        <v>29</v>
      </c>
      <c r="Y168" s="94" t="e">
        <f>#REF!-H168</f>
        <v>#REF!</v>
      </c>
      <c r="Z168" s="95" t="e">
        <f>#REF!-J168</f>
        <v>#REF!</v>
      </c>
      <c r="AA168" s="96" t="e">
        <f>#REF!-L168</f>
        <v>#REF!</v>
      </c>
      <c r="AB168" s="95" t="e">
        <f>#REF!-N168</f>
        <v>#REF!</v>
      </c>
      <c r="AC168" s="94" t="e">
        <f>(#REF!+#REF!)-S168</f>
        <v>#REF!</v>
      </c>
      <c r="AD168" s="97" t="e">
        <f>AC168/(#REF!+#REF!)*100</f>
        <v>#REF!</v>
      </c>
      <c r="AE168" s="98"/>
      <c r="AF168" s="98"/>
      <c r="AG168" s="99"/>
      <c r="AH168" s="100" t="s">
        <v>95</v>
      </c>
    </row>
    <row r="169" spans="1:34" x14ac:dyDescent="0.3">
      <c r="A169" s="232">
        <v>167</v>
      </c>
      <c r="B169" s="34" t="s">
        <v>26</v>
      </c>
      <c r="C169" s="34" t="s">
        <v>313</v>
      </c>
      <c r="D169" s="35" t="s">
        <v>80</v>
      </c>
      <c r="E169" s="35" t="s">
        <v>29</v>
      </c>
      <c r="F169" s="36" t="s">
        <v>30</v>
      </c>
      <c r="G169" s="37"/>
      <c r="H169" s="113">
        <f t="shared" si="8"/>
        <v>3753.3900000000003</v>
      </c>
      <c r="I169" s="39">
        <v>0</v>
      </c>
      <c r="J169" s="40">
        <v>2742.09</v>
      </c>
      <c r="K169" s="41">
        <f t="shared" si="11"/>
        <v>2742.09</v>
      </c>
      <c r="L169" s="42">
        <v>690.4</v>
      </c>
      <c r="M169" s="42"/>
      <c r="N169" s="40">
        <v>314.57</v>
      </c>
      <c r="O169" s="43">
        <f t="shared" si="9"/>
        <v>320.89999999999998</v>
      </c>
      <c r="P169" s="40">
        <v>289</v>
      </c>
      <c r="Q169" s="40">
        <v>31.9</v>
      </c>
      <c r="R169" s="40"/>
      <c r="S169" s="44">
        <f t="shared" si="10"/>
        <v>3432.4900000000002</v>
      </c>
      <c r="T169" s="35" t="s">
        <v>320</v>
      </c>
      <c r="U169" s="70" t="s">
        <v>76</v>
      </c>
      <c r="V169" s="71" t="s">
        <v>80</v>
      </c>
      <c r="W169" s="71" t="s">
        <v>29</v>
      </c>
      <c r="X169" s="70" t="s">
        <v>29</v>
      </c>
      <c r="Y169" s="72" t="e">
        <f>#REF!-H169</f>
        <v>#REF!</v>
      </c>
      <c r="Z169" s="73" t="e">
        <f>#REF!-J169</f>
        <v>#REF!</v>
      </c>
      <c r="AA169" s="74" t="e">
        <f>#REF!-L169</f>
        <v>#REF!</v>
      </c>
      <c r="AB169" s="73" t="e">
        <f>#REF!-N169</f>
        <v>#REF!</v>
      </c>
      <c r="AC169" s="72" t="e">
        <f>(#REF!+#REF!)-S169</f>
        <v>#REF!</v>
      </c>
      <c r="AD169" s="50" t="e">
        <f>AC169/(#REF!+#REF!)*100</f>
        <v>#REF!</v>
      </c>
      <c r="AH169" s="33" t="s">
        <v>34</v>
      </c>
    </row>
    <row r="170" spans="1:34" s="69" customFormat="1" ht="21" x14ac:dyDescent="0.3">
      <c r="A170" s="233">
        <v>168</v>
      </c>
      <c r="B170" s="82" t="s">
        <v>26</v>
      </c>
      <c r="C170" s="82" t="s">
        <v>313</v>
      </c>
      <c r="D170" s="83" t="s">
        <v>85</v>
      </c>
      <c r="E170" s="83" t="s">
        <v>29</v>
      </c>
      <c r="F170" s="84" t="s">
        <v>30</v>
      </c>
      <c r="G170" s="85" t="s">
        <v>31</v>
      </c>
      <c r="H170" s="86">
        <f t="shared" si="8"/>
        <v>2424.08</v>
      </c>
      <c r="I170" s="87"/>
      <c r="J170" s="88">
        <v>1998.38</v>
      </c>
      <c r="K170" s="89">
        <f t="shared" si="11"/>
        <v>1998.38</v>
      </c>
      <c r="L170" s="90">
        <v>0</v>
      </c>
      <c r="M170" s="90"/>
      <c r="N170" s="88">
        <v>329.2</v>
      </c>
      <c r="O170" s="91">
        <f t="shared" si="9"/>
        <v>425.7</v>
      </c>
      <c r="P170" s="88">
        <v>289.8</v>
      </c>
      <c r="Q170" s="88">
        <v>19.2</v>
      </c>
      <c r="R170" s="88">
        <v>116.7</v>
      </c>
      <c r="S170" s="92">
        <f t="shared" si="10"/>
        <v>1998.38</v>
      </c>
      <c r="T170" s="93" t="s">
        <v>57</v>
      </c>
      <c r="U170" s="82" t="s">
        <v>76</v>
      </c>
      <c r="V170" s="83" t="s">
        <v>85</v>
      </c>
      <c r="W170" s="83" t="s">
        <v>29</v>
      </c>
      <c r="X170" s="82" t="s">
        <v>29</v>
      </c>
      <c r="Y170" s="94" t="e">
        <f>#REF!-H170</f>
        <v>#REF!</v>
      </c>
      <c r="Z170" s="95" t="e">
        <f>#REF!-J170</f>
        <v>#REF!</v>
      </c>
      <c r="AA170" s="96" t="e">
        <f>#REF!-L170</f>
        <v>#REF!</v>
      </c>
      <c r="AB170" s="95" t="e">
        <f>#REF!-N170</f>
        <v>#REF!</v>
      </c>
      <c r="AC170" s="94" t="e">
        <f>(#REF!+#REF!)-S170</f>
        <v>#REF!</v>
      </c>
      <c r="AD170" s="97" t="e">
        <f>AC170/(#REF!+#REF!)*100</f>
        <v>#REF!</v>
      </c>
      <c r="AE170" s="98"/>
      <c r="AF170" s="98"/>
      <c r="AG170" s="99"/>
      <c r="AH170" s="100" t="s">
        <v>95</v>
      </c>
    </row>
    <row r="171" spans="1:34" s="69" customFormat="1" x14ac:dyDescent="0.3">
      <c r="A171" s="75">
        <v>169</v>
      </c>
      <c r="B171" s="34" t="s">
        <v>26</v>
      </c>
      <c r="C171" s="34" t="s">
        <v>313</v>
      </c>
      <c r="D171" s="35" t="s">
        <v>100</v>
      </c>
      <c r="E171" s="35" t="s">
        <v>29</v>
      </c>
      <c r="F171" s="36" t="s">
        <v>30</v>
      </c>
      <c r="G171" s="37"/>
      <c r="H171" s="38">
        <f t="shared" si="8"/>
        <v>1609.77</v>
      </c>
      <c r="I171" s="39">
        <v>21.87</v>
      </c>
      <c r="J171" s="40">
        <v>1424.9</v>
      </c>
      <c r="K171" s="41">
        <f t="shared" si="11"/>
        <v>1446.77</v>
      </c>
      <c r="L171" s="42">
        <v>0</v>
      </c>
      <c r="M171" s="42"/>
      <c r="N171" s="40">
        <v>163</v>
      </c>
      <c r="O171" s="43">
        <f t="shared" si="9"/>
        <v>163</v>
      </c>
      <c r="P171" s="40">
        <v>163</v>
      </c>
      <c r="Q171" s="40"/>
      <c r="R171" s="40"/>
      <c r="S171" s="76">
        <f t="shared" si="10"/>
        <v>1446.77</v>
      </c>
      <c r="T171" s="35" t="s">
        <v>321</v>
      </c>
      <c r="U171" s="34" t="s">
        <v>76</v>
      </c>
      <c r="V171" s="35" t="s">
        <v>100</v>
      </c>
      <c r="W171" s="35" t="s">
        <v>29</v>
      </c>
      <c r="X171" s="34" t="s">
        <v>29</v>
      </c>
      <c r="Y171" s="77" t="e">
        <f>#REF!-H171</f>
        <v>#REF!</v>
      </c>
      <c r="Z171" s="78" t="e">
        <f>#REF!-J171</f>
        <v>#REF!</v>
      </c>
      <c r="AA171" s="79" t="e">
        <f>#REF!-L171</f>
        <v>#REF!</v>
      </c>
      <c r="AB171" s="78" t="e">
        <f>#REF!-N171</f>
        <v>#REF!</v>
      </c>
      <c r="AC171" s="77" t="e">
        <f>(#REF!+#REF!)-S171</f>
        <v>#REF!</v>
      </c>
      <c r="AD171" s="80" t="e">
        <f>AC171/(#REF!+#REF!)*100</f>
        <v>#REF!</v>
      </c>
      <c r="AG171" s="81"/>
      <c r="AH171" s="33" t="s">
        <v>34</v>
      </c>
    </row>
    <row r="172" spans="1:34" s="69" customFormat="1" x14ac:dyDescent="0.3">
      <c r="A172" s="75">
        <v>171</v>
      </c>
      <c r="B172" s="34" t="s">
        <v>322</v>
      </c>
      <c r="C172" s="34" t="s">
        <v>323</v>
      </c>
      <c r="D172" s="35" t="s">
        <v>222</v>
      </c>
      <c r="E172" s="35" t="s">
        <v>29</v>
      </c>
      <c r="F172" s="36" t="s">
        <v>30</v>
      </c>
      <c r="G172" s="37"/>
      <c r="H172" s="38">
        <f t="shared" si="8"/>
        <v>1718.9099999999999</v>
      </c>
      <c r="I172" s="39"/>
      <c r="J172" s="40">
        <v>1179.31</v>
      </c>
      <c r="K172" s="41">
        <f t="shared" si="11"/>
        <v>1179.31</v>
      </c>
      <c r="L172" s="42">
        <v>308</v>
      </c>
      <c r="M172" s="42"/>
      <c r="N172" s="40">
        <v>225</v>
      </c>
      <c r="O172" s="43">
        <f t="shared" si="9"/>
        <v>231.6</v>
      </c>
      <c r="P172" s="40">
        <v>225</v>
      </c>
      <c r="Q172" s="40">
        <v>6.6</v>
      </c>
      <c r="R172" s="40"/>
      <c r="S172" s="76">
        <f t="shared" si="10"/>
        <v>1487.31</v>
      </c>
      <c r="T172" s="35" t="s">
        <v>324</v>
      </c>
      <c r="U172" s="34" t="s">
        <v>325</v>
      </c>
      <c r="V172" s="35" t="s">
        <v>222</v>
      </c>
      <c r="W172" s="35" t="s">
        <v>29</v>
      </c>
      <c r="X172" s="34" t="s">
        <v>29</v>
      </c>
      <c r="Y172" s="77" t="e">
        <f>#REF!-H172</f>
        <v>#REF!</v>
      </c>
      <c r="Z172" s="78" t="e">
        <f>#REF!-J172</f>
        <v>#REF!</v>
      </c>
      <c r="AA172" s="79" t="e">
        <f>#REF!-L172</f>
        <v>#REF!</v>
      </c>
      <c r="AB172" s="78" t="e">
        <f>#REF!-N172</f>
        <v>#REF!</v>
      </c>
      <c r="AC172" s="77" t="e">
        <f>(#REF!+#REF!)-S172</f>
        <v>#REF!</v>
      </c>
      <c r="AD172" s="80" t="e">
        <f>AC172/(#REF!+#REF!)*100</f>
        <v>#REF!</v>
      </c>
      <c r="AG172" s="81"/>
      <c r="AH172" s="33" t="s">
        <v>34</v>
      </c>
    </row>
    <row r="173" spans="1:34" x14ac:dyDescent="0.3">
      <c r="A173" s="230">
        <v>172</v>
      </c>
      <c r="B173" s="51" t="s">
        <v>326</v>
      </c>
      <c r="C173" s="51" t="s">
        <v>323</v>
      </c>
      <c r="D173" s="52" t="s">
        <v>327</v>
      </c>
      <c r="E173" s="52" t="s">
        <v>29</v>
      </c>
      <c r="F173" s="53" t="s">
        <v>30</v>
      </c>
      <c r="G173" s="54" t="s">
        <v>31</v>
      </c>
      <c r="H173" s="55">
        <f t="shared" si="8"/>
        <v>2444.41</v>
      </c>
      <c r="I173" s="56"/>
      <c r="J173" s="57">
        <v>2139.21</v>
      </c>
      <c r="K173" s="58">
        <f t="shared" si="11"/>
        <v>2139.21</v>
      </c>
      <c r="L173" s="59">
        <v>0</v>
      </c>
      <c r="M173" s="59"/>
      <c r="N173" s="57">
        <v>305.2</v>
      </c>
      <c r="O173" s="60">
        <f t="shared" si="9"/>
        <v>305.2</v>
      </c>
      <c r="P173" s="57">
        <v>305.2</v>
      </c>
      <c r="Q173" s="57"/>
      <c r="R173" s="57"/>
      <c r="S173" s="61">
        <f t="shared" si="10"/>
        <v>2139.21</v>
      </c>
      <c r="T173" s="52" t="s">
        <v>328</v>
      </c>
      <c r="U173" s="51" t="s">
        <v>325</v>
      </c>
      <c r="V173" s="52" t="s">
        <v>327</v>
      </c>
      <c r="W173" s="52" t="s">
        <v>29</v>
      </c>
      <c r="X173" s="51" t="s">
        <v>29</v>
      </c>
      <c r="Y173" s="62" t="e">
        <f>#REF!-H173</f>
        <v>#REF!</v>
      </c>
      <c r="Z173" s="63" t="e">
        <f>#REF!-J173</f>
        <v>#REF!</v>
      </c>
      <c r="AA173" s="64" t="e">
        <f>#REF!-L173</f>
        <v>#REF!</v>
      </c>
      <c r="AB173" s="63" t="e">
        <f>#REF!-N173</f>
        <v>#REF!</v>
      </c>
      <c r="AC173" s="62" t="e">
        <f>(#REF!+#REF!)-S173</f>
        <v>#REF!</v>
      </c>
      <c r="AD173" s="65" t="e">
        <f>AC173/(#REF!+#REF!)*100</f>
        <v>#REF!</v>
      </c>
      <c r="AE173" s="66"/>
      <c r="AF173" s="66"/>
      <c r="AG173" s="67"/>
      <c r="AH173" s="68" t="s">
        <v>39</v>
      </c>
    </row>
    <row r="174" spans="1:34" x14ac:dyDescent="0.3">
      <c r="A174" s="232">
        <v>173</v>
      </c>
      <c r="B174" s="51" t="s">
        <v>326</v>
      </c>
      <c r="C174" s="51" t="s">
        <v>323</v>
      </c>
      <c r="D174" s="52" t="s">
        <v>327</v>
      </c>
      <c r="E174" s="52" t="s">
        <v>31</v>
      </c>
      <c r="F174" s="53" t="s">
        <v>43</v>
      </c>
      <c r="G174" s="54" t="s">
        <v>31</v>
      </c>
      <c r="H174" s="55">
        <f t="shared" si="8"/>
        <v>1996.29</v>
      </c>
      <c r="I174" s="56">
        <v>20.81</v>
      </c>
      <c r="J174" s="57">
        <v>1187.68</v>
      </c>
      <c r="K174" s="58">
        <f t="shared" si="11"/>
        <v>1208.49</v>
      </c>
      <c r="L174" s="59">
        <f>394.5+143.7</f>
        <v>538.20000000000005</v>
      </c>
      <c r="M174" s="59">
        <v>143.69999999999999</v>
      </c>
      <c r="N174" s="57">
        <v>497.4</v>
      </c>
      <c r="O174" s="60">
        <f t="shared" si="9"/>
        <v>249.6</v>
      </c>
      <c r="P174" s="57">
        <v>233.1</v>
      </c>
      <c r="Q174" s="57">
        <v>16.5</v>
      </c>
      <c r="R174" s="57">
        <v>0</v>
      </c>
      <c r="S174" s="61">
        <f t="shared" si="10"/>
        <v>1746.69</v>
      </c>
      <c r="T174" s="52" t="s">
        <v>329</v>
      </c>
      <c r="U174" s="51" t="s">
        <v>325</v>
      </c>
      <c r="V174" s="52" t="s">
        <v>327</v>
      </c>
      <c r="W174" s="52" t="s">
        <v>31</v>
      </c>
      <c r="X174" s="51" t="s">
        <v>29</v>
      </c>
      <c r="Y174" s="62" t="e">
        <f>#REF!-H174</f>
        <v>#REF!</v>
      </c>
      <c r="Z174" s="63" t="e">
        <f>#REF!-J174</f>
        <v>#REF!</v>
      </c>
      <c r="AA174" s="64" t="e">
        <f>#REF!-L174</f>
        <v>#REF!</v>
      </c>
      <c r="AB174" s="63" t="e">
        <f>#REF!-N174</f>
        <v>#REF!</v>
      </c>
      <c r="AC174" s="62" t="e">
        <f>(#REF!+#REF!)-S174</f>
        <v>#REF!</v>
      </c>
      <c r="AD174" s="65" t="e">
        <f>AC174/(#REF!+#REF!)*100</f>
        <v>#REF!</v>
      </c>
      <c r="AE174" s="66"/>
      <c r="AF174" s="66"/>
      <c r="AG174" s="67"/>
      <c r="AH174" s="68" t="s">
        <v>39</v>
      </c>
    </row>
    <row r="175" spans="1:34" s="69" customFormat="1" x14ac:dyDescent="0.3">
      <c r="A175" s="75">
        <v>174</v>
      </c>
      <c r="B175" s="34" t="s">
        <v>26</v>
      </c>
      <c r="C175" s="34" t="s">
        <v>323</v>
      </c>
      <c r="D175" s="35" t="s">
        <v>51</v>
      </c>
      <c r="E175" s="35" t="s">
        <v>29</v>
      </c>
      <c r="F175" s="36" t="s">
        <v>30</v>
      </c>
      <c r="G175" s="37"/>
      <c r="H175" s="38">
        <f t="shared" si="8"/>
        <v>5777.96</v>
      </c>
      <c r="I175" s="39"/>
      <c r="J175" s="40">
        <v>5283.96</v>
      </c>
      <c r="K175" s="41">
        <f t="shared" si="11"/>
        <v>5283.96</v>
      </c>
      <c r="L175" s="42">
        <v>0</v>
      </c>
      <c r="M175" s="42"/>
      <c r="N175" s="40">
        <v>494</v>
      </c>
      <c r="O175" s="43">
        <f t="shared" si="9"/>
        <v>494</v>
      </c>
      <c r="P175" s="40">
        <v>454</v>
      </c>
      <c r="Q175" s="40">
        <v>40</v>
      </c>
      <c r="R175" s="40"/>
      <c r="S175" s="76">
        <f t="shared" si="10"/>
        <v>5283.96</v>
      </c>
      <c r="T175" s="35" t="s">
        <v>330</v>
      </c>
      <c r="U175" s="34" t="s">
        <v>325</v>
      </c>
      <c r="V175" s="35" t="s">
        <v>51</v>
      </c>
      <c r="W175" s="35" t="s">
        <v>29</v>
      </c>
      <c r="X175" s="34" t="s">
        <v>29</v>
      </c>
      <c r="Y175" s="77" t="e">
        <f>#REF!-H175</f>
        <v>#REF!</v>
      </c>
      <c r="Z175" s="78" t="e">
        <f>#REF!-J175</f>
        <v>#REF!</v>
      </c>
      <c r="AA175" s="79" t="e">
        <f>#REF!-L175</f>
        <v>#REF!</v>
      </c>
      <c r="AB175" s="78" t="e">
        <f>#REF!-N175</f>
        <v>#REF!</v>
      </c>
      <c r="AC175" s="77" t="e">
        <f>(#REF!+#REF!)-S175</f>
        <v>#REF!</v>
      </c>
      <c r="AD175" s="80" t="e">
        <f>AC175/(#REF!+#REF!)*100</f>
        <v>#REF!</v>
      </c>
      <c r="AG175" s="81"/>
      <c r="AH175" s="33" t="s">
        <v>34</v>
      </c>
    </row>
    <row r="176" spans="1:34" s="69" customFormat="1" x14ac:dyDescent="0.3">
      <c r="A176" s="75">
        <v>175</v>
      </c>
      <c r="B176" s="34" t="s">
        <v>26</v>
      </c>
      <c r="C176" s="34" t="s">
        <v>323</v>
      </c>
      <c r="D176" s="35" t="s">
        <v>55</v>
      </c>
      <c r="E176" s="35" t="s">
        <v>29</v>
      </c>
      <c r="F176" s="36" t="s">
        <v>30</v>
      </c>
      <c r="G176" s="37"/>
      <c r="H176" s="38">
        <f t="shared" si="8"/>
        <v>4716.26</v>
      </c>
      <c r="I176" s="39">
        <v>0</v>
      </c>
      <c r="J176" s="40">
        <f>3919.16</f>
        <v>3919.16</v>
      </c>
      <c r="K176" s="41">
        <f t="shared" si="11"/>
        <v>3919.16</v>
      </c>
      <c r="L176" s="42">
        <v>0</v>
      </c>
      <c r="M176" s="42"/>
      <c r="N176" s="40">
        <v>391.1</v>
      </c>
      <c r="O176" s="43">
        <f t="shared" si="9"/>
        <v>797.1</v>
      </c>
      <c r="P176" s="40">
        <v>758</v>
      </c>
      <c r="Q176" s="40">
        <v>39.1</v>
      </c>
      <c r="R176" s="40"/>
      <c r="S176" s="76">
        <f t="shared" si="10"/>
        <v>3919.16</v>
      </c>
      <c r="T176" s="35" t="s">
        <v>331</v>
      </c>
      <c r="U176" s="34" t="s">
        <v>325</v>
      </c>
      <c r="V176" s="35" t="s">
        <v>55</v>
      </c>
      <c r="W176" s="35" t="s">
        <v>29</v>
      </c>
      <c r="X176" s="34" t="s">
        <v>29</v>
      </c>
      <c r="Y176" s="77" t="e">
        <f>#REF!-H176</f>
        <v>#REF!</v>
      </c>
      <c r="Z176" s="78" t="e">
        <f>#REF!-J176</f>
        <v>#REF!</v>
      </c>
      <c r="AA176" s="79" t="e">
        <f>#REF!-L176</f>
        <v>#REF!</v>
      </c>
      <c r="AB176" s="78" t="e">
        <f>#REF!-N176</f>
        <v>#REF!</v>
      </c>
      <c r="AC176" s="77" t="e">
        <f>(#REF!+#REF!)-S176</f>
        <v>#REF!</v>
      </c>
      <c r="AD176" s="80" t="e">
        <f>AC176/(#REF!+#REF!)*100</f>
        <v>#REF!</v>
      </c>
      <c r="AG176" s="81"/>
      <c r="AH176" s="33" t="s">
        <v>34</v>
      </c>
    </row>
    <row r="177" spans="1:34" s="69" customFormat="1" x14ac:dyDescent="0.3">
      <c r="A177" s="101">
        <v>176</v>
      </c>
      <c r="B177" s="34" t="s">
        <v>26</v>
      </c>
      <c r="C177" s="34" t="s">
        <v>323</v>
      </c>
      <c r="D177" s="35" t="s">
        <v>332</v>
      </c>
      <c r="E177" s="35" t="s">
        <v>29</v>
      </c>
      <c r="F177" s="36" t="s">
        <v>30</v>
      </c>
      <c r="G177" s="37"/>
      <c r="H177" s="38">
        <f t="shared" si="8"/>
        <v>3800.9300000000003</v>
      </c>
      <c r="I177" s="39"/>
      <c r="J177" s="40">
        <v>3434.53</v>
      </c>
      <c r="K177" s="41">
        <f t="shared" si="11"/>
        <v>3434.53</v>
      </c>
      <c r="L177" s="42">
        <v>0</v>
      </c>
      <c r="M177" s="42"/>
      <c r="N177" s="40">
        <v>366.4</v>
      </c>
      <c r="O177" s="43">
        <f t="shared" si="9"/>
        <v>366.4</v>
      </c>
      <c r="P177" s="40">
        <v>335</v>
      </c>
      <c r="Q177" s="40">
        <v>31.4</v>
      </c>
      <c r="R177" s="40"/>
      <c r="S177" s="76">
        <f t="shared" si="10"/>
        <v>3434.53</v>
      </c>
      <c r="T177" s="35" t="s">
        <v>333</v>
      </c>
      <c r="U177" s="34" t="s">
        <v>325</v>
      </c>
      <c r="V177" s="35" t="s">
        <v>332</v>
      </c>
      <c r="W177" s="35" t="s">
        <v>29</v>
      </c>
      <c r="X177" s="34" t="s">
        <v>29</v>
      </c>
      <c r="Y177" s="77" t="e">
        <f>#REF!-H177</f>
        <v>#REF!</v>
      </c>
      <c r="Z177" s="78" t="e">
        <f>#REF!-J177</f>
        <v>#REF!</v>
      </c>
      <c r="AA177" s="79" t="e">
        <f>#REF!-L177</f>
        <v>#REF!</v>
      </c>
      <c r="AB177" s="78" t="e">
        <f>#REF!-N177</f>
        <v>#REF!</v>
      </c>
      <c r="AC177" s="77" t="e">
        <f>(#REF!+#REF!)-S177</f>
        <v>#REF!</v>
      </c>
      <c r="AD177" s="80" t="e">
        <f>AC177/(#REF!+#REF!)*100</f>
        <v>#REF!</v>
      </c>
      <c r="AG177" s="81"/>
      <c r="AH177" s="33" t="s">
        <v>34</v>
      </c>
    </row>
    <row r="178" spans="1:34" s="69" customFormat="1" x14ac:dyDescent="0.3">
      <c r="A178" s="75">
        <v>177</v>
      </c>
      <c r="B178" s="34" t="s">
        <v>26</v>
      </c>
      <c r="C178" s="34" t="s">
        <v>323</v>
      </c>
      <c r="D178" s="35" t="s">
        <v>334</v>
      </c>
      <c r="E178" s="35" t="s">
        <v>29</v>
      </c>
      <c r="F178" s="36" t="s">
        <v>30</v>
      </c>
      <c r="G178" s="37"/>
      <c r="H178" s="38">
        <f t="shared" si="8"/>
        <v>11882.659999999998</v>
      </c>
      <c r="I178" s="39"/>
      <c r="J178" s="40">
        <f>8040.98-0.77+0.05</f>
        <v>8040.2599999999993</v>
      </c>
      <c r="K178" s="41">
        <f t="shared" si="11"/>
        <v>8040.2599999999993</v>
      </c>
      <c r="L178" s="42">
        <f>1950.4+7.2</f>
        <v>1957.6000000000001</v>
      </c>
      <c r="M178" s="42"/>
      <c r="N178" s="42">
        <v>1825.8</v>
      </c>
      <c r="O178" s="43">
        <f t="shared" si="9"/>
        <v>1884.8</v>
      </c>
      <c r="P178" s="42">
        <v>1593</v>
      </c>
      <c r="Q178" s="42">
        <v>226</v>
      </c>
      <c r="R178" s="42">
        <f>22.6+32.1+11.1</f>
        <v>65.8</v>
      </c>
      <c r="S178" s="76">
        <f t="shared" si="10"/>
        <v>9997.8599999999988</v>
      </c>
      <c r="T178" s="35" t="s">
        <v>335</v>
      </c>
      <c r="U178" s="34" t="s">
        <v>325</v>
      </c>
      <c r="V178" s="35" t="s">
        <v>334</v>
      </c>
      <c r="W178" s="35" t="s">
        <v>29</v>
      </c>
      <c r="X178" s="34" t="s">
        <v>29</v>
      </c>
      <c r="Y178" s="77" t="e">
        <f>#REF!-H178</f>
        <v>#REF!</v>
      </c>
      <c r="Z178" s="78" t="e">
        <f>#REF!-J178</f>
        <v>#REF!</v>
      </c>
      <c r="AA178" s="79" t="e">
        <f>#REF!-L178</f>
        <v>#REF!</v>
      </c>
      <c r="AB178" s="78" t="e">
        <f>#REF!-N178</f>
        <v>#REF!</v>
      </c>
      <c r="AC178" s="77" t="e">
        <f>(#REF!+#REF!)-S178</f>
        <v>#REF!</v>
      </c>
      <c r="AD178" s="80" t="e">
        <f>AC178/(#REF!+#REF!)*100</f>
        <v>#REF!</v>
      </c>
      <c r="AG178" s="81"/>
      <c r="AH178" s="33" t="s">
        <v>34</v>
      </c>
    </row>
    <row r="179" spans="1:34" s="69" customFormat="1" x14ac:dyDescent="0.3">
      <c r="A179" s="75">
        <v>178</v>
      </c>
      <c r="B179" s="34" t="s">
        <v>26</v>
      </c>
      <c r="C179" s="34" t="s">
        <v>323</v>
      </c>
      <c r="D179" s="35" t="s">
        <v>334</v>
      </c>
      <c r="E179" s="35" t="s">
        <v>31</v>
      </c>
      <c r="F179" s="36" t="s">
        <v>43</v>
      </c>
      <c r="G179" s="37"/>
      <c r="H179" s="38">
        <f t="shared" si="8"/>
        <v>276</v>
      </c>
      <c r="I179" s="39"/>
      <c r="J179" s="40">
        <v>223</v>
      </c>
      <c r="K179" s="41">
        <f t="shared" si="11"/>
        <v>223</v>
      </c>
      <c r="L179" s="42">
        <v>0</v>
      </c>
      <c r="M179" s="42"/>
      <c r="N179" s="42">
        <v>53</v>
      </c>
      <c r="O179" s="43">
        <f t="shared" si="9"/>
        <v>53</v>
      </c>
      <c r="P179" s="42">
        <v>53</v>
      </c>
      <c r="Q179" s="42"/>
      <c r="R179" s="42"/>
      <c r="S179" s="76">
        <f t="shared" si="10"/>
        <v>223</v>
      </c>
      <c r="T179" s="35" t="s">
        <v>336</v>
      </c>
      <c r="U179" s="34" t="s">
        <v>325</v>
      </c>
      <c r="V179" s="35" t="s">
        <v>334</v>
      </c>
      <c r="W179" s="35" t="s">
        <v>29</v>
      </c>
      <c r="X179" s="34" t="s">
        <v>29</v>
      </c>
      <c r="Y179" s="77" t="e">
        <f>#REF!-H179</f>
        <v>#REF!</v>
      </c>
      <c r="Z179" s="78" t="e">
        <f>#REF!-J179</f>
        <v>#REF!</v>
      </c>
      <c r="AA179" s="79" t="e">
        <f>#REF!-L179</f>
        <v>#REF!</v>
      </c>
      <c r="AB179" s="78" t="e">
        <f>#REF!-N179</f>
        <v>#REF!</v>
      </c>
      <c r="AC179" s="77" t="e">
        <f>(#REF!+#REF!)-S179</f>
        <v>#REF!</v>
      </c>
      <c r="AD179" s="80" t="e">
        <f>AC179/(#REF!+#REF!)*100</f>
        <v>#REF!</v>
      </c>
      <c r="AG179" s="81"/>
      <c r="AH179" s="33" t="s">
        <v>34</v>
      </c>
    </row>
    <row r="180" spans="1:34" x14ac:dyDescent="0.3">
      <c r="A180" s="232">
        <v>179</v>
      </c>
      <c r="B180" s="51" t="s">
        <v>337</v>
      </c>
      <c r="C180" s="51" t="s">
        <v>323</v>
      </c>
      <c r="D180" s="52" t="s">
        <v>338</v>
      </c>
      <c r="E180" s="52" t="s">
        <v>29</v>
      </c>
      <c r="F180" s="53" t="s">
        <v>43</v>
      </c>
      <c r="G180" s="54" t="s">
        <v>31</v>
      </c>
      <c r="H180" s="55">
        <f t="shared" si="8"/>
        <v>683.25</v>
      </c>
      <c r="I180" s="56"/>
      <c r="J180" s="57">
        <v>414.95</v>
      </c>
      <c r="K180" s="58">
        <f t="shared" si="11"/>
        <v>414.95</v>
      </c>
      <c r="L180" s="59">
        <v>175.3</v>
      </c>
      <c r="M180" s="59"/>
      <c r="N180" s="57">
        <v>93</v>
      </c>
      <c r="O180" s="60">
        <f t="shared" si="9"/>
        <v>93</v>
      </c>
      <c r="P180" s="57">
        <v>93</v>
      </c>
      <c r="Q180" s="57">
        <v>0</v>
      </c>
      <c r="R180" s="57"/>
      <c r="S180" s="61">
        <f t="shared" si="10"/>
        <v>590.25</v>
      </c>
      <c r="T180" s="52" t="s">
        <v>339</v>
      </c>
      <c r="U180" s="51" t="s">
        <v>325</v>
      </c>
      <c r="V180" s="52" t="s">
        <v>338</v>
      </c>
      <c r="W180" s="52" t="s">
        <v>29</v>
      </c>
      <c r="X180" s="51" t="s">
        <v>29</v>
      </c>
      <c r="Y180" s="62" t="e">
        <f>#REF!-H180</f>
        <v>#REF!</v>
      </c>
      <c r="Z180" s="63" t="e">
        <f>#REF!-J180</f>
        <v>#REF!</v>
      </c>
      <c r="AA180" s="64" t="e">
        <f>#REF!-L180</f>
        <v>#REF!</v>
      </c>
      <c r="AB180" s="63" t="e">
        <f>#REF!-N180</f>
        <v>#REF!</v>
      </c>
      <c r="AC180" s="62" t="e">
        <f>(#REF!+#REF!)-S180</f>
        <v>#REF!</v>
      </c>
      <c r="AD180" s="65" t="e">
        <f>AC180/(#REF!+#REF!)*100</f>
        <v>#REF!</v>
      </c>
      <c r="AE180" s="66"/>
      <c r="AF180" s="66"/>
      <c r="AG180" s="67"/>
      <c r="AH180" s="68" t="s">
        <v>39</v>
      </c>
    </row>
    <row r="181" spans="1:34" ht="21" x14ac:dyDescent="0.3">
      <c r="A181" s="233">
        <v>180</v>
      </c>
      <c r="B181" s="82" t="s">
        <v>340</v>
      </c>
      <c r="C181" s="82" t="s">
        <v>341</v>
      </c>
      <c r="D181" s="83" t="s">
        <v>241</v>
      </c>
      <c r="E181" s="83" t="s">
        <v>31</v>
      </c>
      <c r="F181" s="84" t="s">
        <v>342</v>
      </c>
      <c r="G181" s="85"/>
      <c r="H181" s="86">
        <f t="shared" si="8"/>
        <v>1991.25</v>
      </c>
      <c r="I181" s="87">
        <v>18.14</v>
      </c>
      <c r="J181" s="88">
        <f>1682.31-2.2</f>
        <v>1680.11</v>
      </c>
      <c r="K181" s="89">
        <f t="shared" si="11"/>
        <v>1698.25</v>
      </c>
      <c r="L181" s="90">
        <v>0</v>
      </c>
      <c r="M181" s="90"/>
      <c r="N181" s="88">
        <v>293</v>
      </c>
      <c r="O181" s="91">
        <f t="shared" si="9"/>
        <v>293</v>
      </c>
      <c r="P181" s="88">
        <v>293</v>
      </c>
      <c r="Q181" s="88"/>
      <c r="R181" s="88"/>
      <c r="S181" s="92">
        <f t="shared" si="10"/>
        <v>1698.25</v>
      </c>
      <c r="T181" s="93" t="s">
        <v>57</v>
      </c>
      <c r="U181" s="82" t="s">
        <v>343</v>
      </c>
      <c r="V181" s="83" t="s">
        <v>241</v>
      </c>
      <c r="W181" s="83" t="s">
        <v>29</v>
      </c>
      <c r="X181" s="82" t="s">
        <v>29</v>
      </c>
      <c r="Y181" s="94" t="e">
        <f>#REF!-H181</f>
        <v>#REF!</v>
      </c>
      <c r="Z181" s="95" t="e">
        <f>#REF!-J181</f>
        <v>#REF!</v>
      </c>
      <c r="AA181" s="96" t="e">
        <f>#REF!-L181</f>
        <v>#REF!</v>
      </c>
      <c r="AB181" s="95" t="e">
        <f>#REF!-N181</f>
        <v>#REF!</v>
      </c>
      <c r="AC181" s="94" t="e">
        <f>(#REF!+#REF!)-S181</f>
        <v>#REF!</v>
      </c>
      <c r="AD181" s="97" t="e">
        <f>AC181/(#REF!+#REF!)*100</f>
        <v>#REF!</v>
      </c>
      <c r="AE181" s="98"/>
      <c r="AF181" s="98"/>
      <c r="AG181" s="99"/>
      <c r="AH181" s="100" t="s">
        <v>167</v>
      </c>
    </row>
    <row r="182" spans="1:34" s="69" customFormat="1" ht="21" x14ac:dyDescent="0.3">
      <c r="A182" s="233">
        <v>181</v>
      </c>
      <c r="B182" s="82" t="s">
        <v>26</v>
      </c>
      <c r="C182" s="82" t="s">
        <v>341</v>
      </c>
      <c r="D182" s="83" t="s">
        <v>78</v>
      </c>
      <c r="E182" s="83" t="s">
        <v>29</v>
      </c>
      <c r="F182" s="84" t="s">
        <v>30</v>
      </c>
      <c r="G182" s="85"/>
      <c r="H182" s="86">
        <f t="shared" si="8"/>
        <v>2822.3</v>
      </c>
      <c r="I182" s="87"/>
      <c r="J182" s="88">
        <v>2509.9</v>
      </c>
      <c r="K182" s="89">
        <f t="shared" si="11"/>
        <v>2509.9</v>
      </c>
      <c r="L182" s="90">
        <v>0</v>
      </c>
      <c r="M182" s="90"/>
      <c r="N182" s="88">
        <v>274</v>
      </c>
      <c r="O182" s="91">
        <f t="shared" si="9"/>
        <v>312.39999999999998</v>
      </c>
      <c r="P182" s="88">
        <v>274</v>
      </c>
      <c r="Q182" s="88">
        <v>38.4</v>
      </c>
      <c r="R182" s="88"/>
      <c r="S182" s="92">
        <f t="shared" si="10"/>
        <v>2509.9</v>
      </c>
      <c r="T182" s="93" t="s">
        <v>57</v>
      </c>
      <c r="U182" s="82" t="s">
        <v>343</v>
      </c>
      <c r="V182" s="83" t="s">
        <v>78</v>
      </c>
      <c r="W182" s="83" t="s">
        <v>29</v>
      </c>
      <c r="X182" s="82" t="s">
        <v>29</v>
      </c>
      <c r="Y182" s="94" t="e">
        <f>#REF!-H182</f>
        <v>#REF!</v>
      </c>
      <c r="Z182" s="95" t="e">
        <f>#REF!-J182</f>
        <v>#REF!</v>
      </c>
      <c r="AA182" s="96" t="e">
        <f>#REF!-L182</f>
        <v>#REF!</v>
      </c>
      <c r="AB182" s="95" t="e">
        <f>#REF!-N182</f>
        <v>#REF!</v>
      </c>
      <c r="AC182" s="94" t="e">
        <f>(#REF!+#REF!)-S182</f>
        <v>#REF!</v>
      </c>
      <c r="AD182" s="97" t="e">
        <f>AC182/(#REF!+#REF!)*100</f>
        <v>#REF!</v>
      </c>
      <c r="AE182" s="98"/>
      <c r="AF182" s="98"/>
      <c r="AG182" s="99"/>
      <c r="AH182" s="100" t="s">
        <v>114</v>
      </c>
    </row>
    <row r="183" spans="1:34" s="69" customFormat="1" x14ac:dyDescent="0.3">
      <c r="A183" s="101">
        <v>182</v>
      </c>
      <c r="B183" s="34" t="s">
        <v>26</v>
      </c>
      <c r="C183" s="34" t="s">
        <v>341</v>
      </c>
      <c r="D183" s="35" t="s">
        <v>107</v>
      </c>
      <c r="E183" s="35" t="s">
        <v>29</v>
      </c>
      <c r="F183" s="36" t="s">
        <v>30</v>
      </c>
      <c r="G183" s="37"/>
      <c r="H183" s="38">
        <f t="shared" si="8"/>
        <v>4665.6399999999994</v>
      </c>
      <c r="I183" s="39"/>
      <c r="J183" s="40">
        <v>4161.24</v>
      </c>
      <c r="K183" s="41">
        <f t="shared" si="11"/>
        <v>4161.24</v>
      </c>
      <c r="L183" s="42">
        <v>0</v>
      </c>
      <c r="M183" s="42"/>
      <c r="N183" s="40">
        <v>498</v>
      </c>
      <c r="O183" s="43">
        <f t="shared" si="9"/>
        <v>504.4</v>
      </c>
      <c r="P183" s="40">
        <v>462</v>
      </c>
      <c r="Q183" s="40">
        <v>42.4</v>
      </c>
      <c r="R183" s="40"/>
      <c r="S183" s="76">
        <f t="shared" si="10"/>
        <v>4161.24</v>
      </c>
      <c r="T183" s="35" t="s">
        <v>344</v>
      </c>
      <c r="U183" s="34" t="s">
        <v>343</v>
      </c>
      <c r="V183" s="35" t="s">
        <v>107</v>
      </c>
      <c r="W183" s="35" t="s">
        <v>29</v>
      </c>
      <c r="X183" s="34" t="s">
        <v>29</v>
      </c>
      <c r="Y183" s="77" t="e">
        <f>#REF!-H183</f>
        <v>#REF!</v>
      </c>
      <c r="Z183" s="78" t="e">
        <f>#REF!-J183</f>
        <v>#REF!</v>
      </c>
      <c r="AA183" s="79" t="e">
        <f>#REF!-L183</f>
        <v>#REF!</v>
      </c>
      <c r="AB183" s="78" t="e">
        <f>#REF!-N183</f>
        <v>#REF!</v>
      </c>
      <c r="AC183" s="77" t="e">
        <f>(#REF!+#REF!)-S183</f>
        <v>#REF!</v>
      </c>
      <c r="AD183" s="80" t="e">
        <f>AC183/(#REF!+#REF!)*100</f>
        <v>#REF!</v>
      </c>
      <c r="AG183" s="81"/>
      <c r="AH183" s="33" t="s">
        <v>34</v>
      </c>
    </row>
    <row r="184" spans="1:34" s="69" customFormat="1" x14ac:dyDescent="0.3">
      <c r="A184" s="75">
        <v>183</v>
      </c>
      <c r="B184" s="34" t="s">
        <v>26</v>
      </c>
      <c r="C184" s="34" t="s">
        <v>341</v>
      </c>
      <c r="D184" s="35" t="s">
        <v>258</v>
      </c>
      <c r="E184" s="35" t="s">
        <v>29</v>
      </c>
      <c r="F184" s="36" t="s">
        <v>30</v>
      </c>
      <c r="G184" s="37"/>
      <c r="H184" s="38">
        <f t="shared" si="8"/>
        <v>2719.38</v>
      </c>
      <c r="I184" s="39"/>
      <c r="J184" s="40">
        <v>2363.2800000000002</v>
      </c>
      <c r="K184" s="41">
        <f t="shared" si="11"/>
        <v>2363.2800000000002</v>
      </c>
      <c r="L184" s="42">
        <v>0</v>
      </c>
      <c r="M184" s="42"/>
      <c r="N184" s="40">
        <v>327</v>
      </c>
      <c r="O184" s="43">
        <f t="shared" si="9"/>
        <v>356.1</v>
      </c>
      <c r="P184" s="40">
        <v>327</v>
      </c>
      <c r="Q184" s="40">
        <v>29.1</v>
      </c>
      <c r="R184" s="40"/>
      <c r="S184" s="76">
        <f t="shared" si="10"/>
        <v>2363.2800000000002</v>
      </c>
      <c r="T184" s="35" t="s">
        <v>345</v>
      </c>
      <c r="U184" s="34" t="s">
        <v>343</v>
      </c>
      <c r="V184" s="35" t="s">
        <v>258</v>
      </c>
      <c r="W184" s="35" t="s">
        <v>29</v>
      </c>
      <c r="X184" s="34" t="s">
        <v>29</v>
      </c>
      <c r="Y184" s="77" t="e">
        <f>#REF!-H184</f>
        <v>#REF!</v>
      </c>
      <c r="Z184" s="78" t="e">
        <f>#REF!-J184</f>
        <v>#REF!</v>
      </c>
      <c r="AA184" s="79" t="e">
        <f>#REF!-L184</f>
        <v>#REF!</v>
      </c>
      <c r="AB184" s="78" t="e">
        <f>#REF!-N184</f>
        <v>#REF!</v>
      </c>
      <c r="AC184" s="77" t="e">
        <f>(#REF!+#REF!)-S184</f>
        <v>#REF!</v>
      </c>
      <c r="AD184" s="80" t="e">
        <f>AC184/(#REF!+#REF!)*100</f>
        <v>#REF!</v>
      </c>
      <c r="AG184" s="81"/>
      <c r="AH184" s="33" t="s">
        <v>34</v>
      </c>
    </row>
    <row r="185" spans="1:34" s="69" customFormat="1" x14ac:dyDescent="0.3">
      <c r="A185" s="75">
        <v>184</v>
      </c>
      <c r="B185" s="34" t="s">
        <v>26</v>
      </c>
      <c r="C185" s="34" t="s">
        <v>341</v>
      </c>
      <c r="D185" s="35" t="s">
        <v>200</v>
      </c>
      <c r="E185" s="35" t="s">
        <v>29</v>
      </c>
      <c r="F185" s="36" t="s">
        <v>30</v>
      </c>
      <c r="G185" s="37"/>
      <c r="H185" s="38">
        <f t="shared" si="8"/>
        <v>6635.96</v>
      </c>
      <c r="I185" s="39"/>
      <c r="J185" s="40">
        <v>5606.76</v>
      </c>
      <c r="K185" s="41">
        <f t="shared" si="11"/>
        <v>5606.76</v>
      </c>
      <c r="L185" s="42">
        <f>251.1-18.3</f>
        <v>232.79999999999998</v>
      </c>
      <c r="M185" s="42"/>
      <c r="N185" s="40">
        <v>713</v>
      </c>
      <c r="O185" s="43">
        <f t="shared" si="9"/>
        <v>796.4</v>
      </c>
      <c r="P185" s="40">
        <v>713</v>
      </c>
      <c r="Q185" s="40">
        <f>24.5+58.9</f>
        <v>83.4</v>
      </c>
      <c r="R185" s="40"/>
      <c r="S185" s="76">
        <f t="shared" si="10"/>
        <v>5839.56</v>
      </c>
      <c r="T185" s="35" t="s">
        <v>346</v>
      </c>
      <c r="U185" s="34" t="s">
        <v>343</v>
      </c>
      <c r="V185" s="35" t="s">
        <v>200</v>
      </c>
      <c r="W185" s="35" t="s">
        <v>29</v>
      </c>
      <c r="X185" s="34" t="s">
        <v>29</v>
      </c>
      <c r="Y185" s="77" t="e">
        <f>#REF!-H185</f>
        <v>#REF!</v>
      </c>
      <c r="Z185" s="78" t="e">
        <f>#REF!-J185</f>
        <v>#REF!</v>
      </c>
      <c r="AA185" s="79" t="e">
        <f>#REF!-L185</f>
        <v>#REF!</v>
      </c>
      <c r="AB185" s="78" t="e">
        <f>#REF!-N185</f>
        <v>#REF!</v>
      </c>
      <c r="AC185" s="77" t="e">
        <f>(#REF!+#REF!)-S185</f>
        <v>#REF!</v>
      </c>
      <c r="AD185" s="80" t="e">
        <f>AC185/(#REF!+#REF!)*100</f>
        <v>#REF!</v>
      </c>
      <c r="AG185" s="81"/>
      <c r="AH185" s="33" t="s">
        <v>34</v>
      </c>
    </row>
    <row r="186" spans="1:34" s="69" customFormat="1" x14ac:dyDescent="0.3">
      <c r="A186" s="101">
        <v>185</v>
      </c>
      <c r="B186" s="34" t="s">
        <v>26</v>
      </c>
      <c r="C186" s="34" t="s">
        <v>341</v>
      </c>
      <c r="D186" s="35" t="s">
        <v>205</v>
      </c>
      <c r="E186" s="35" t="s">
        <v>31</v>
      </c>
      <c r="F186" s="36" t="s">
        <v>30</v>
      </c>
      <c r="G186" s="37"/>
      <c r="H186" s="38">
        <f t="shared" si="8"/>
        <v>4866.3799999999992</v>
      </c>
      <c r="I186" s="39"/>
      <c r="J186" s="40">
        <v>4435.4799999999996</v>
      </c>
      <c r="K186" s="41">
        <f t="shared" si="11"/>
        <v>4435.4799999999996</v>
      </c>
      <c r="L186" s="42">
        <v>0</v>
      </c>
      <c r="M186" s="42"/>
      <c r="N186" s="40">
        <v>427</v>
      </c>
      <c r="O186" s="43">
        <f t="shared" si="9"/>
        <v>430.9</v>
      </c>
      <c r="P186" s="40">
        <v>391</v>
      </c>
      <c r="Q186" s="40">
        <v>39.9</v>
      </c>
      <c r="R186" s="40"/>
      <c r="S186" s="76">
        <f t="shared" si="10"/>
        <v>4435.4799999999996</v>
      </c>
      <c r="T186" s="35" t="s">
        <v>347</v>
      </c>
      <c r="U186" s="34" t="s">
        <v>343</v>
      </c>
      <c r="V186" s="35" t="s">
        <v>205</v>
      </c>
      <c r="W186" s="35" t="s">
        <v>31</v>
      </c>
      <c r="X186" s="34" t="s">
        <v>29</v>
      </c>
      <c r="Y186" s="77" t="e">
        <f>#REF!-H186</f>
        <v>#REF!</v>
      </c>
      <c r="Z186" s="78" t="e">
        <f>#REF!-J186</f>
        <v>#REF!</v>
      </c>
      <c r="AA186" s="79" t="e">
        <f>#REF!-L186</f>
        <v>#REF!</v>
      </c>
      <c r="AB186" s="78" t="e">
        <f>#REF!-N186</f>
        <v>#REF!</v>
      </c>
      <c r="AC186" s="77" t="e">
        <f>(#REF!+#REF!)-S186</f>
        <v>#REF!</v>
      </c>
      <c r="AD186" s="80" t="e">
        <f>AC186/(#REF!+#REF!)*100</f>
        <v>#REF!</v>
      </c>
      <c r="AG186" s="81"/>
      <c r="AH186" s="33" t="s">
        <v>34</v>
      </c>
    </row>
    <row r="187" spans="1:34" s="69" customFormat="1" x14ac:dyDescent="0.3">
      <c r="A187" s="75">
        <v>186</v>
      </c>
      <c r="B187" s="34" t="s">
        <v>26</v>
      </c>
      <c r="C187" s="34" t="s">
        <v>341</v>
      </c>
      <c r="D187" s="35" t="s">
        <v>113</v>
      </c>
      <c r="E187" s="35" t="s">
        <v>31</v>
      </c>
      <c r="F187" s="36" t="s">
        <v>30</v>
      </c>
      <c r="G187" s="37"/>
      <c r="H187" s="38">
        <f t="shared" si="8"/>
        <v>4587.74</v>
      </c>
      <c r="I187" s="39"/>
      <c r="J187" s="40">
        <v>4187.54</v>
      </c>
      <c r="K187" s="41">
        <f t="shared" si="11"/>
        <v>4187.54</v>
      </c>
      <c r="L187" s="42">
        <v>0</v>
      </c>
      <c r="M187" s="42"/>
      <c r="N187" s="40">
        <v>465.9</v>
      </c>
      <c r="O187" s="43">
        <f t="shared" si="9"/>
        <v>400.2</v>
      </c>
      <c r="P187" s="40">
        <v>379.3</v>
      </c>
      <c r="Q187" s="40">
        <v>20.9</v>
      </c>
      <c r="R187" s="40"/>
      <c r="S187" s="76">
        <f t="shared" si="10"/>
        <v>4187.54</v>
      </c>
      <c r="T187" s="35" t="s">
        <v>348</v>
      </c>
      <c r="U187" s="34" t="s">
        <v>343</v>
      </c>
      <c r="V187" s="35" t="s">
        <v>113</v>
      </c>
      <c r="W187" s="35" t="s">
        <v>31</v>
      </c>
      <c r="X187" s="34" t="s">
        <v>29</v>
      </c>
      <c r="Y187" s="77" t="e">
        <f>#REF!-H187</f>
        <v>#REF!</v>
      </c>
      <c r="Z187" s="78" t="e">
        <f>#REF!-J187</f>
        <v>#REF!</v>
      </c>
      <c r="AA187" s="79" t="e">
        <f>#REF!-L187</f>
        <v>#REF!</v>
      </c>
      <c r="AB187" s="78" t="e">
        <f>#REF!-N187</f>
        <v>#REF!</v>
      </c>
      <c r="AC187" s="77" t="e">
        <f>(#REF!+#REF!)-S187</f>
        <v>#REF!</v>
      </c>
      <c r="AD187" s="80" t="e">
        <f>AC187/(#REF!+#REF!)*100</f>
        <v>#REF!</v>
      </c>
      <c r="AG187" s="81"/>
      <c r="AH187" s="33" t="s">
        <v>34</v>
      </c>
    </row>
    <row r="188" spans="1:34" s="69" customFormat="1" x14ac:dyDescent="0.3">
      <c r="A188" s="75">
        <v>187</v>
      </c>
      <c r="B188" s="34" t="s">
        <v>26</v>
      </c>
      <c r="C188" s="34" t="s">
        <v>341</v>
      </c>
      <c r="D188" s="35" t="s">
        <v>113</v>
      </c>
      <c r="E188" s="35" t="s">
        <v>161</v>
      </c>
      <c r="F188" s="36" t="s">
        <v>43</v>
      </c>
      <c r="G188" s="37"/>
      <c r="H188" s="38">
        <f t="shared" si="8"/>
        <v>4646.91</v>
      </c>
      <c r="I188" s="39"/>
      <c r="J188" s="40">
        <v>4163.71</v>
      </c>
      <c r="K188" s="41">
        <f t="shared" si="11"/>
        <v>4163.71</v>
      </c>
      <c r="L188" s="42">
        <v>0</v>
      </c>
      <c r="M188" s="42"/>
      <c r="N188" s="40">
        <v>483.2</v>
      </c>
      <c r="O188" s="43">
        <f t="shared" si="9"/>
        <v>483.2</v>
      </c>
      <c r="P188" s="40">
        <v>433</v>
      </c>
      <c r="Q188" s="40">
        <v>50.2</v>
      </c>
      <c r="R188" s="40"/>
      <c r="S188" s="76">
        <f t="shared" si="10"/>
        <v>4163.71</v>
      </c>
      <c r="T188" s="35" t="s">
        <v>349</v>
      </c>
      <c r="U188" s="34" t="s">
        <v>343</v>
      </c>
      <c r="V188" s="35" t="s">
        <v>113</v>
      </c>
      <c r="W188" s="35" t="s">
        <v>161</v>
      </c>
      <c r="X188" s="34" t="s">
        <v>29</v>
      </c>
      <c r="Y188" s="77" t="e">
        <f>#REF!-H188</f>
        <v>#REF!</v>
      </c>
      <c r="Z188" s="78" t="e">
        <f>#REF!-J188</f>
        <v>#REF!</v>
      </c>
      <c r="AA188" s="79" t="e">
        <f>#REF!-L188</f>
        <v>#REF!</v>
      </c>
      <c r="AB188" s="78" t="e">
        <f>#REF!-N188</f>
        <v>#REF!</v>
      </c>
      <c r="AC188" s="77" t="e">
        <f>(#REF!+#REF!)-S188</f>
        <v>#REF!</v>
      </c>
      <c r="AD188" s="80" t="e">
        <f>AC188/(#REF!+#REF!)*100</f>
        <v>#REF!</v>
      </c>
      <c r="AG188" s="81"/>
      <c r="AH188" s="33" t="s">
        <v>34</v>
      </c>
    </row>
    <row r="189" spans="1:34" s="69" customFormat="1" x14ac:dyDescent="0.3">
      <c r="A189" s="101">
        <v>188</v>
      </c>
      <c r="B189" s="34" t="s">
        <v>26</v>
      </c>
      <c r="C189" s="34" t="s">
        <v>341</v>
      </c>
      <c r="D189" s="35" t="s">
        <v>113</v>
      </c>
      <c r="E189" s="35" t="s">
        <v>241</v>
      </c>
      <c r="F189" s="36" t="s">
        <v>56</v>
      </c>
      <c r="G189" s="37"/>
      <c r="H189" s="38">
        <f t="shared" si="8"/>
        <v>4665.4799999999996</v>
      </c>
      <c r="I189" s="39"/>
      <c r="J189" s="40">
        <v>4197.28</v>
      </c>
      <c r="K189" s="41">
        <f t="shared" si="11"/>
        <v>4197.28</v>
      </c>
      <c r="L189" s="42">
        <v>0</v>
      </c>
      <c r="M189" s="42"/>
      <c r="N189" s="40">
        <v>468.2</v>
      </c>
      <c r="O189" s="43">
        <f t="shared" si="9"/>
        <v>468.2</v>
      </c>
      <c r="P189" s="40">
        <v>448</v>
      </c>
      <c r="Q189" s="40">
        <v>20.2</v>
      </c>
      <c r="R189" s="40"/>
      <c r="S189" s="76">
        <f t="shared" si="10"/>
        <v>4197.28</v>
      </c>
      <c r="T189" s="35" t="s">
        <v>350</v>
      </c>
      <c r="U189" s="34" t="s">
        <v>343</v>
      </c>
      <c r="V189" s="35" t="s">
        <v>113</v>
      </c>
      <c r="W189" s="35" t="s">
        <v>241</v>
      </c>
      <c r="X189" s="34" t="s">
        <v>29</v>
      </c>
      <c r="Y189" s="77" t="e">
        <f>#REF!-H189</f>
        <v>#REF!</v>
      </c>
      <c r="Z189" s="78" t="e">
        <f>#REF!-J189</f>
        <v>#REF!</v>
      </c>
      <c r="AA189" s="79" t="e">
        <f>#REF!-L189</f>
        <v>#REF!</v>
      </c>
      <c r="AB189" s="78" t="e">
        <f>#REF!-N189</f>
        <v>#REF!</v>
      </c>
      <c r="AC189" s="77" t="e">
        <f>(#REF!+#REF!)-S189</f>
        <v>#REF!</v>
      </c>
      <c r="AD189" s="80" t="e">
        <f>AC189/(#REF!+#REF!)*100</f>
        <v>#REF!</v>
      </c>
      <c r="AG189" s="81"/>
      <c r="AH189" s="33" t="s">
        <v>34</v>
      </c>
    </row>
    <row r="190" spans="1:34" s="69" customFormat="1" x14ac:dyDescent="0.3">
      <c r="A190" s="75">
        <v>189</v>
      </c>
      <c r="B190" s="34" t="s">
        <v>26</v>
      </c>
      <c r="C190" s="34" t="s">
        <v>341</v>
      </c>
      <c r="D190" s="35" t="s">
        <v>115</v>
      </c>
      <c r="E190" s="35" t="s">
        <v>31</v>
      </c>
      <c r="F190" s="36" t="s">
        <v>30</v>
      </c>
      <c r="G190" s="37"/>
      <c r="H190" s="38">
        <f t="shared" si="8"/>
        <v>3829.12</v>
      </c>
      <c r="I190" s="39"/>
      <c r="J190" s="40">
        <v>3459.72</v>
      </c>
      <c r="K190" s="41">
        <f t="shared" si="11"/>
        <v>3459.72</v>
      </c>
      <c r="L190" s="42">
        <v>0</v>
      </c>
      <c r="M190" s="42"/>
      <c r="N190" s="40">
        <v>355</v>
      </c>
      <c r="O190" s="43">
        <f t="shared" si="9"/>
        <v>369.4</v>
      </c>
      <c r="P190" s="40">
        <v>355</v>
      </c>
      <c r="Q190" s="40">
        <v>14.4</v>
      </c>
      <c r="R190" s="40"/>
      <c r="S190" s="76">
        <f t="shared" si="10"/>
        <v>3459.72</v>
      </c>
      <c r="T190" s="35" t="s">
        <v>351</v>
      </c>
      <c r="U190" s="34" t="s">
        <v>343</v>
      </c>
      <c r="V190" s="35" t="s">
        <v>115</v>
      </c>
      <c r="W190" s="35" t="s">
        <v>31</v>
      </c>
      <c r="X190" s="34" t="s">
        <v>29</v>
      </c>
      <c r="Y190" s="77" t="e">
        <f>#REF!-H190</f>
        <v>#REF!</v>
      </c>
      <c r="Z190" s="78" t="e">
        <f>#REF!-J190</f>
        <v>#REF!</v>
      </c>
      <c r="AA190" s="79" t="e">
        <f>#REF!-L190</f>
        <v>#REF!</v>
      </c>
      <c r="AB190" s="78" t="e">
        <f>#REF!-N190</f>
        <v>#REF!</v>
      </c>
      <c r="AC190" s="77" t="e">
        <f>(#REF!+#REF!)-S190</f>
        <v>#REF!</v>
      </c>
      <c r="AD190" s="80" t="e">
        <f>AC190/(#REF!+#REF!)*100</f>
        <v>#REF!</v>
      </c>
      <c r="AG190" s="81"/>
      <c r="AH190" s="33" t="s">
        <v>34</v>
      </c>
    </row>
    <row r="191" spans="1:34" s="69" customFormat="1" x14ac:dyDescent="0.3">
      <c r="A191" s="75">
        <v>190</v>
      </c>
      <c r="B191" s="34" t="s">
        <v>26</v>
      </c>
      <c r="C191" s="34" t="s">
        <v>341</v>
      </c>
      <c r="D191" s="35" t="s">
        <v>115</v>
      </c>
      <c r="E191" s="35" t="s">
        <v>241</v>
      </c>
      <c r="F191" s="36" t="s">
        <v>352</v>
      </c>
      <c r="G191" s="37"/>
      <c r="H191" s="38">
        <f t="shared" si="8"/>
        <v>3905.7</v>
      </c>
      <c r="I191" s="39"/>
      <c r="J191" s="40">
        <v>3509.6</v>
      </c>
      <c r="K191" s="41">
        <f t="shared" si="11"/>
        <v>3509.6</v>
      </c>
      <c r="L191" s="42">
        <v>0</v>
      </c>
      <c r="M191" s="42"/>
      <c r="N191" s="40">
        <v>305</v>
      </c>
      <c r="O191" s="43">
        <f t="shared" si="9"/>
        <v>396.1</v>
      </c>
      <c r="P191" s="40">
        <v>360</v>
      </c>
      <c r="Q191" s="40">
        <v>36.1</v>
      </c>
      <c r="R191" s="40"/>
      <c r="S191" s="76">
        <f t="shared" si="10"/>
        <v>3509.6</v>
      </c>
      <c r="T191" s="35" t="s">
        <v>353</v>
      </c>
      <c r="U191" s="34" t="s">
        <v>343</v>
      </c>
      <c r="V191" s="35" t="s">
        <v>115</v>
      </c>
      <c r="W191" s="35" t="s">
        <v>241</v>
      </c>
      <c r="X191" s="34" t="s">
        <v>29</v>
      </c>
      <c r="Y191" s="77" t="e">
        <f>#REF!-H191</f>
        <v>#REF!</v>
      </c>
      <c r="Z191" s="78" t="e">
        <f>#REF!-J191</f>
        <v>#REF!</v>
      </c>
      <c r="AA191" s="79"/>
      <c r="AB191" s="78" t="e">
        <f>#REF!-N191</f>
        <v>#REF!</v>
      </c>
      <c r="AC191" s="77" t="e">
        <f>(#REF!+#REF!)-S191</f>
        <v>#REF!</v>
      </c>
      <c r="AD191" s="80" t="e">
        <f>AC191/(#REF!+#REF!)*100</f>
        <v>#REF!</v>
      </c>
      <c r="AG191" s="81"/>
      <c r="AH191" s="33" t="s">
        <v>34</v>
      </c>
    </row>
    <row r="192" spans="1:34" s="69" customFormat="1" x14ac:dyDescent="0.3">
      <c r="A192" s="101">
        <v>191</v>
      </c>
      <c r="B192" s="34" t="s">
        <v>26</v>
      </c>
      <c r="C192" s="34" t="s">
        <v>341</v>
      </c>
      <c r="D192" s="35" t="s">
        <v>354</v>
      </c>
      <c r="E192" s="35" t="s">
        <v>31</v>
      </c>
      <c r="F192" s="36" t="s">
        <v>30</v>
      </c>
      <c r="G192" s="37"/>
      <c r="H192" s="38">
        <f t="shared" si="8"/>
        <v>1864.06</v>
      </c>
      <c r="I192" s="39"/>
      <c r="J192" s="40">
        <v>1606.16</v>
      </c>
      <c r="K192" s="41">
        <f t="shared" si="11"/>
        <v>1606.16</v>
      </c>
      <c r="L192" s="42">
        <v>0</v>
      </c>
      <c r="M192" s="42"/>
      <c r="N192" s="40">
        <v>179</v>
      </c>
      <c r="O192" s="43">
        <f t="shared" si="9"/>
        <v>257.89999999999998</v>
      </c>
      <c r="P192" s="40">
        <v>179</v>
      </c>
      <c r="Q192" s="40">
        <v>78.900000000000006</v>
      </c>
      <c r="R192" s="40"/>
      <c r="S192" s="76">
        <f t="shared" si="10"/>
        <v>1606.16</v>
      </c>
      <c r="T192" s="35" t="s">
        <v>355</v>
      </c>
      <c r="U192" s="34" t="s">
        <v>343</v>
      </c>
      <c r="V192" s="35" t="s">
        <v>354</v>
      </c>
      <c r="W192" s="35" t="s">
        <v>31</v>
      </c>
      <c r="X192" s="34" t="s">
        <v>29</v>
      </c>
      <c r="Y192" s="77" t="e">
        <f>#REF!-H192</f>
        <v>#REF!</v>
      </c>
      <c r="Z192" s="78" t="e">
        <f>#REF!-J192</f>
        <v>#REF!</v>
      </c>
      <c r="AA192" s="79" t="e">
        <f>#REF!-L192</f>
        <v>#REF!</v>
      </c>
      <c r="AB192" s="78" t="e">
        <f>#REF!-N192</f>
        <v>#REF!</v>
      </c>
      <c r="AC192" s="77" t="e">
        <f>(#REF!+#REF!)-S192</f>
        <v>#REF!</v>
      </c>
      <c r="AD192" s="80" t="e">
        <f>AC192/(#REF!+#REF!)*100</f>
        <v>#REF!</v>
      </c>
      <c r="AG192" s="81"/>
      <c r="AH192" s="33" t="s">
        <v>34</v>
      </c>
    </row>
    <row r="193" spans="1:34" s="69" customFormat="1" x14ac:dyDescent="0.3">
      <c r="A193" s="75">
        <v>192</v>
      </c>
      <c r="B193" s="34" t="s">
        <v>26</v>
      </c>
      <c r="C193" s="34" t="s">
        <v>341</v>
      </c>
      <c r="D193" s="35" t="s">
        <v>354</v>
      </c>
      <c r="E193" s="35" t="s">
        <v>161</v>
      </c>
      <c r="F193" s="36" t="s">
        <v>43</v>
      </c>
      <c r="G193" s="37"/>
      <c r="H193" s="38">
        <f t="shared" si="8"/>
        <v>2865.25</v>
      </c>
      <c r="I193" s="39"/>
      <c r="J193" s="40">
        <v>2572.0500000000002</v>
      </c>
      <c r="K193" s="41">
        <f t="shared" si="11"/>
        <v>2572.0500000000002</v>
      </c>
      <c r="L193" s="42">
        <v>0</v>
      </c>
      <c r="M193" s="42"/>
      <c r="N193" s="40">
        <v>293.16000000000003</v>
      </c>
      <c r="O193" s="43">
        <f t="shared" si="9"/>
        <v>293.2</v>
      </c>
      <c r="P193" s="40">
        <v>263</v>
      </c>
      <c r="Q193" s="40">
        <v>30.2</v>
      </c>
      <c r="R193" s="40"/>
      <c r="S193" s="76">
        <f t="shared" si="10"/>
        <v>2572.0500000000002</v>
      </c>
      <c r="T193" s="35" t="s">
        <v>356</v>
      </c>
      <c r="U193" s="34" t="s">
        <v>343</v>
      </c>
      <c r="V193" s="35" t="s">
        <v>354</v>
      </c>
      <c r="W193" s="35" t="s">
        <v>161</v>
      </c>
      <c r="X193" s="34" t="s">
        <v>29</v>
      </c>
      <c r="Y193" s="77" t="e">
        <f>#REF!-H193</f>
        <v>#REF!</v>
      </c>
      <c r="Z193" s="78" t="e">
        <f>#REF!-J193</f>
        <v>#REF!</v>
      </c>
      <c r="AA193" s="79" t="e">
        <f>#REF!-L193</f>
        <v>#REF!</v>
      </c>
      <c r="AB193" s="78" t="e">
        <f>#REF!-N193</f>
        <v>#REF!</v>
      </c>
      <c r="AC193" s="77" t="e">
        <f>(#REF!+#REF!)-S193</f>
        <v>#REF!</v>
      </c>
      <c r="AD193" s="80" t="e">
        <f>AC193/(#REF!+#REF!)*100</f>
        <v>#REF!</v>
      </c>
      <c r="AG193" s="81"/>
      <c r="AH193" s="33" t="s">
        <v>34</v>
      </c>
    </row>
    <row r="194" spans="1:34" s="69" customFormat="1" x14ac:dyDescent="0.3">
      <c r="A194" s="75">
        <v>193</v>
      </c>
      <c r="B194" s="34" t="s">
        <v>26</v>
      </c>
      <c r="C194" s="34" t="s">
        <v>341</v>
      </c>
      <c r="D194" s="35" t="s">
        <v>120</v>
      </c>
      <c r="E194" s="35" t="s">
        <v>31</v>
      </c>
      <c r="F194" s="36" t="s">
        <v>30</v>
      </c>
      <c r="G194" s="37" t="s">
        <v>31</v>
      </c>
      <c r="H194" s="38">
        <f t="shared" si="8"/>
        <v>5865.05</v>
      </c>
      <c r="I194" s="39"/>
      <c r="J194" s="40">
        <v>4927.3500000000004</v>
      </c>
      <c r="K194" s="41">
        <f t="shared" si="11"/>
        <v>4927.3500000000004</v>
      </c>
      <c r="L194" s="42">
        <v>0</v>
      </c>
      <c r="M194" s="42"/>
      <c r="N194" s="40">
        <v>1111.7</v>
      </c>
      <c r="O194" s="43">
        <f t="shared" si="9"/>
        <v>937.7</v>
      </c>
      <c r="P194" s="40">
        <v>814</v>
      </c>
      <c r="Q194" s="40">
        <v>123.7</v>
      </c>
      <c r="R194" s="40"/>
      <c r="S194" s="76">
        <f t="shared" si="10"/>
        <v>4927.3500000000004</v>
      </c>
      <c r="T194" s="35" t="s">
        <v>357</v>
      </c>
      <c r="U194" s="34" t="s">
        <v>343</v>
      </c>
      <c r="V194" s="35" t="s">
        <v>120</v>
      </c>
      <c r="W194" s="35" t="s">
        <v>31</v>
      </c>
      <c r="X194" s="34" t="s">
        <v>29</v>
      </c>
      <c r="Y194" s="77" t="e">
        <f>#REF!-H194</f>
        <v>#REF!</v>
      </c>
      <c r="Z194" s="78" t="e">
        <f>#REF!-J194</f>
        <v>#REF!</v>
      </c>
      <c r="AA194" s="79" t="e">
        <f>#REF!-L194</f>
        <v>#REF!</v>
      </c>
      <c r="AB194" s="78" t="e">
        <f>#REF!-N194</f>
        <v>#REF!</v>
      </c>
      <c r="AC194" s="77" t="e">
        <f>(#REF!+#REF!)-S194</f>
        <v>#REF!</v>
      </c>
      <c r="AD194" s="80" t="e">
        <f>AC194/(#REF!+#REF!)*100</f>
        <v>#REF!</v>
      </c>
      <c r="AG194" s="81"/>
      <c r="AH194" s="33" t="s">
        <v>34</v>
      </c>
    </row>
    <row r="195" spans="1:34" s="69" customFormat="1" ht="21" x14ac:dyDescent="0.3">
      <c r="A195" s="234">
        <v>194</v>
      </c>
      <c r="B195" s="82" t="s">
        <v>26</v>
      </c>
      <c r="C195" s="82" t="s">
        <v>341</v>
      </c>
      <c r="D195" s="83" t="s">
        <v>120</v>
      </c>
      <c r="E195" s="83" t="s">
        <v>241</v>
      </c>
      <c r="F195" s="84" t="s">
        <v>30</v>
      </c>
      <c r="G195" s="85" t="s">
        <v>31</v>
      </c>
      <c r="H195" s="86">
        <f t="shared" si="8"/>
        <v>7110.72</v>
      </c>
      <c r="I195" s="87"/>
      <c r="J195" s="88">
        <f>6063.02+18.7</f>
        <v>6081.72</v>
      </c>
      <c r="K195" s="89">
        <f t="shared" si="11"/>
        <v>6081.72</v>
      </c>
      <c r="L195" s="90">
        <v>573.70000000000005</v>
      </c>
      <c r="M195" s="90">
        <f>73.2+124.7</f>
        <v>197.9</v>
      </c>
      <c r="N195" s="88"/>
      <c r="O195" s="91">
        <f t="shared" si="9"/>
        <v>455.3</v>
      </c>
      <c r="P195" s="88">
        <v>376</v>
      </c>
      <c r="Q195" s="88">
        <v>79.3</v>
      </c>
      <c r="R195" s="88"/>
      <c r="S195" s="92">
        <f t="shared" si="10"/>
        <v>6655.42</v>
      </c>
      <c r="T195" s="93" t="s">
        <v>57</v>
      </c>
      <c r="U195" s="82"/>
      <c r="V195" s="83"/>
      <c r="W195" s="83"/>
      <c r="X195" s="82"/>
      <c r="Y195" s="94"/>
      <c r="Z195" s="95"/>
      <c r="AA195" s="96"/>
      <c r="AB195" s="95"/>
      <c r="AC195" s="94"/>
      <c r="AD195" s="97"/>
      <c r="AE195" s="98"/>
      <c r="AF195" s="98"/>
      <c r="AG195" s="99"/>
      <c r="AH195" s="100" t="s">
        <v>114</v>
      </c>
    </row>
    <row r="196" spans="1:34" s="69" customFormat="1" ht="21" x14ac:dyDescent="0.3">
      <c r="A196" s="233">
        <v>195</v>
      </c>
      <c r="B196" s="82" t="s">
        <v>26</v>
      </c>
      <c r="C196" s="82" t="s">
        <v>341</v>
      </c>
      <c r="D196" s="83" t="s">
        <v>124</v>
      </c>
      <c r="E196" s="83" t="s">
        <v>29</v>
      </c>
      <c r="F196" s="84" t="s">
        <v>30</v>
      </c>
      <c r="G196" s="85" t="s">
        <v>31</v>
      </c>
      <c r="H196" s="86">
        <f t="shared" si="8"/>
        <v>6069.6399999999994</v>
      </c>
      <c r="I196" s="87">
        <v>0</v>
      </c>
      <c r="J196" s="88">
        <v>4957.4399999999996</v>
      </c>
      <c r="K196" s="89">
        <f t="shared" si="11"/>
        <v>4957.4399999999996</v>
      </c>
      <c r="L196" s="90">
        <v>0</v>
      </c>
      <c r="M196" s="90"/>
      <c r="N196" s="88">
        <v>1286.22</v>
      </c>
      <c r="O196" s="91">
        <f t="shared" si="9"/>
        <v>1112.2</v>
      </c>
      <c r="P196" s="88">
        <v>988</v>
      </c>
      <c r="Q196" s="88">
        <v>124.2</v>
      </c>
      <c r="R196" s="88"/>
      <c r="S196" s="92">
        <f t="shared" si="10"/>
        <v>4957.4399999999996</v>
      </c>
      <c r="T196" s="93" t="s">
        <v>57</v>
      </c>
      <c r="U196" s="82" t="s">
        <v>343</v>
      </c>
      <c r="V196" s="83" t="s">
        <v>124</v>
      </c>
      <c r="W196" s="83" t="s">
        <v>29</v>
      </c>
      <c r="X196" s="82" t="s">
        <v>29</v>
      </c>
      <c r="Y196" s="94" t="e">
        <f>#REF!-H196</f>
        <v>#REF!</v>
      </c>
      <c r="Z196" s="95" t="e">
        <f>#REF!-J196</f>
        <v>#REF!</v>
      </c>
      <c r="AA196" s="96" t="e">
        <f>#REF!-L196</f>
        <v>#REF!</v>
      </c>
      <c r="AB196" s="95" t="e">
        <f>#REF!-N196</f>
        <v>#REF!</v>
      </c>
      <c r="AC196" s="94" t="e">
        <f>(#REF!+#REF!)-S196</f>
        <v>#REF!</v>
      </c>
      <c r="AD196" s="97" t="e">
        <f>AC196/(#REF!+#REF!)*100</f>
        <v>#REF!</v>
      </c>
      <c r="AE196" s="98"/>
      <c r="AF196" s="98"/>
      <c r="AG196" s="99"/>
      <c r="AH196" s="100" t="s">
        <v>95</v>
      </c>
    </row>
    <row r="197" spans="1:34" s="69" customFormat="1" x14ac:dyDescent="0.3">
      <c r="A197" s="75">
        <v>196</v>
      </c>
      <c r="B197" s="34" t="s">
        <v>26</v>
      </c>
      <c r="C197" s="34" t="s">
        <v>358</v>
      </c>
      <c r="D197" s="35" t="s">
        <v>107</v>
      </c>
      <c r="E197" s="35" t="s">
        <v>31</v>
      </c>
      <c r="F197" s="36" t="s">
        <v>30</v>
      </c>
      <c r="G197" s="37" t="s">
        <v>31</v>
      </c>
      <c r="H197" s="38">
        <f t="shared" ref="H197:H249" si="12">O197+S197</f>
        <v>33401.760000000002</v>
      </c>
      <c r="I197" s="39">
        <v>0</v>
      </c>
      <c r="J197" s="40">
        <v>29192.71</v>
      </c>
      <c r="K197" s="41">
        <f t="shared" si="11"/>
        <v>29192.71</v>
      </c>
      <c r="L197" s="42">
        <v>0</v>
      </c>
      <c r="M197" s="42"/>
      <c r="N197" s="40">
        <v>4194.72</v>
      </c>
      <c r="O197" s="43">
        <f t="shared" ref="O197:O212" si="13">P197+Q197+R197</f>
        <v>4209.05</v>
      </c>
      <c r="P197" s="40">
        <v>3737</v>
      </c>
      <c r="Q197" s="40">
        <v>472.05</v>
      </c>
      <c r="R197" s="40"/>
      <c r="S197" s="76">
        <f t="shared" ref="S197:S249" si="14">J197+L197+I197</f>
        <v>29192.71</v>
      </c>
      <c r="T197" s="35" t="s">
        <v>359</v>
      </c>
      <c r="U197" s="34" t="s">
        <v>360</v>
      </c>
      <c r="V197" s="35" t="s">
        <v>107</v>
      </c>
      <c r="W197" s="35" t="s">
        <v>31</v>
      </c>
      <c r="X197" s="34" t="s">
        <v>29</v>
      </c>
      <c r="Y197" s="77" t="e">
        <f>#REF!-H197</f>
        <v>#REF!</v>
      </c>
      <c r="Z197" s="78" t="e">
        <f>#REF!-J197</f>
        <v>#REF!</v>
      </c>
      <c r="AA197" s="79" t="e">
        <f>#REF!-L197</f>
        <v>#REF!</v>
      </c>
      <c r="AB197" s="78" t="e">
        <f>#REF!-N197</f>
        <v>#REF!</v>
      </c>
      <c r="AC197" s="77" t="e">
        <f>(#REF!+#REF!)-S197</f>
        <v>#REF!</v>
      </c>
      <c r="AD197" s="80" t="e">
        <f>AC197/(#REF!+#REF!)*100</f>
        <v>#REF!</v>
      </c>
      <c r="AG197" s="81"/>
      <c r="AH197" s="33" t="s">
        <v>34</v>
      </c>
    </row>
    <row r="198" spans="1:34" s="69" customFormat="1" x14ac:dyDescent="0.3">
      <c r="A198" s="101">
        <v>197</v>
      </c>
      <c r="B198" s="34" t="s">
        <v>26</v>
      </c>
      <c r="C198" s="34" t="s">
        <v>358</v>
      </c>
      <c r="D198" s="35" t="s">
        <v>198</v>
      </c>
      <c r="E198" s="35" t="s">
        <v>31</v>
      </c>
      <c r="F198" s="36" t="s">
        <v>30</v>
      </c>
      <c r="G198" s="37" t="s">
        <v>31</v>
      </c>
      <c r="H198" s="38">
        <f t="shared" si="12"/>
        <v>29320.670000000002</v>
      </c>
      <c r="I198" s="39">
        <v>0</v>
      </c>
      <c r="J198" s="40">
        <v>25774.97</v>
      </c>
      <c r="K198" s="41">
        <f t="shared" ref="K198:K249" si="15">I198+J198</f>
        <v>25774.97</v>
      </c>
      <c r="L198" s="42">
        <v>0</v>
      </c>
      <c r="M198" s="42"/>
      <c r="N198" s="42">
        <v>3545.7</v>
      </c>
      <c r="O198" s="43">
        <f t="shared" si="13"/>
        <v>3545.7</v>
      </c>
      <c r="P198" s="42">
        <v>3347</v>
      </c>
      <c r="Q198" s="42">
        <v>198.7</v>
      </c>
      <c r="R198" s="42"/>
      <c r="S198" s="76">
        <f t="shared" si="14"/>
        <v>25774.97</v>
      </c>
      <c r="T198" s="35" t="s">
        <v>361</v>
      </c>
      <c r="U198" s="34" t="s">
        <v>360</v>
      </c>
      <c r="V198" s="35" t="s">
        <v>198</v>
      </c>
      <c r="W198" s="35" t="s">
        <v>31</v>
      </c>
      <c r="X198" s="34" t="s">
        <v>29</v>
      </c>
      <c r="Y198" s="77" t="e">
        <f>#REF!-H198</f>
        <v>#REF!</v>
      </c>
      <c r="Z198" s="78" t="e">
        <f>#REF!-J198</f>
        <v>#REF!</v>
      </c>
      <c r="AA198" s="79" t="e">
        <f>#REF!-L198</f>
        <v>#REF!</v>
      </c>
      <c r="AB198" s="78" t="e">
        <f>#REF!-N198</f>
        <v>#REF!</v>
      </c>
      <c r="AC198" s="77" t="e">
        <f>(#REF!+#REF!)-S198</f>
        <v>#REF!</v>
      </c>
      <c r="AD198" s="80" t="e">
        <f>AC198/(#REF!+#REF!)*100</f>
        <v>#REF!</v>
      </c>
      <c r="AG198" s="81"/>
      <c r="AH198" s="33" t="s">
        <v>34</v>
      </c>
    </row>
    <row r="199" spans="1:34" s="69" customFormat="1" x14ac:dyDescent="0.3">
      <c r="A199" s="75">
        <v>198</v>
      </c>
      <c r="B199" s="34" t="s">
        <v>26</v>
      </c>
      <c r="C199" s="34" t="s">
        <v>358</v>
      </c>
      <c r="D199" s="35" t="s">
        <v>198</v>
      </c>
      <c r="E199" s="35" t="s">
        <v>31</v>
      </c>
      <c r="F199" s="36" t="s">
        <v>56</v>
      </c>
      <c r="G199" s="37" t="s">
        <v>31</v>
      </c>
      <c r="H199" s="38">
        <f t="shared" si="12"/>
        <v>32839.549999999996</v>
      </c>
      <c r="I199" s="39">
        <v>26.46</v>
      </c>
      <c r="J199" s="40">
        <v>29066.89</v>
      </c>
      <c r="K199" s="41">
        <f t="shared" si="15"/>
        <v>29093.35</v>
      </c>
      <c r="L199" s="42">
        <v>0</v>
      </c>
      <c r="M199" s="42"/>
      <c r="N199" s="42">
        <v>3746.13</v>
      </c>
      <c r="O199" s="43">
        <f t="shared" si="13"/>
        <v>3746.2</v>
      </c>
      <c r="P199" s="42">
        <v>3529</v>
      </c>
      <c r="Q199" s="42">
        <v>217.2</v>
      </c>
      <c r="R199" s="42"/>
      <c r="S199" s="76">
        <f t="shared" si="14"/>
        <v>29093.35</v>
      </c>
      <c r="T199" s="35" t="s">
        <v>362</v>
      </c>
      <c r="U199" s="34" t="s">
        <v>360</v>
      </c>
      <c r="V199" s="35" t="s">
        <v>198</v>
      </c>
      <c r="W199" s="35" t="s">
        <v>31</v>
      </c>
      <c r="X199" s="34" t="s">
        <v>29</v>
      </c>
      <c r="Y199" s="77" t="e">
        <f>#REF!-H199</f>
        <v>#REF!</v>
      </c>
      <c r="Z199" s="78" t="e">
        <f>#REF!-J199</f>
        <v>#REF!</v>
      </c>
      <c r="AA199" s="79" t="e">
        <f>#REF!-L199</f>
        <v>#REF!</v>
      </c>
      <c r="AB199" s="78" t="e">
        <f>#REF!-N199</f>
        <v>#REF!</v>
      </c>
      <c r="AC199" s="77" t="e">
        <f>(#REF!+#REF!)-S199</f>
        <v>#REF!</v>
      </c>
      <c r="AD199" s="80" t="e">
        <f>AC199/(#REF!+#REF!)*100</f>
        <v>#REF!</v>
      </c>
      <c r="AG199" s="81"/>
      <c r="AH199" s="33" t="s">
        <v>34</v>
      </c>
    </row>
    <row r="200" spans="1:34" s="69" customFormat="1" x14ac:dyDescent="0.3">
      <c r="A200" s="75">
        <v>199</v>
      </c>
      <c r="B200" s="34" t="s">
        <v>26</v>
      </c>
      <c r="C200" s="34" t="s">
        <v>358</v>
      </c>
      <c r="D200" s="35" t="s">
        <v>198</v>
      </c>
      <c r="E200" s="35" t="s">
        <v>161</v>
      </c>
      <c r="F200" s="36" t="s">
        <v>30</v>
      </c>
      <c r="G200" s="37" t="s">
        <v>31</v>
      </c>
      <c r="H200" s="38">
        <f t="shared" si="12"/>
        <v>12523.05</v>
      </c>
      <c r="I200" s="39"/>
      <c r="J200" s="40">
        <f>10717.16-0.11</f>
        <v>10717.05</v>
      </c>
      <c r="K200" s="41">
        <f t="shared" si="15"/>
        <v>10717.05</v>
      </c>
      <c r="L200" s="42">
        <v>0</v>
      </c>
      <c r="M200" s="42"/>
      <c r="N200" s="40">
        <v>1740.4</v>
      </c>
      <c r="O200" s="43">
        <f t="shared" si="13"/>
        <v>1806</v>
      </c>
      <c r="P200" s="40">
        <v>1602</v>
      </c>
      <c r="Q200" s="40">
        <v>204</v>
      </c>
      <c r="R200" s="40"/>
      <c r="S200" s="76">
        <f t="shared" si="14"/>
        <v>10717.05</v>
      </c>
      <c r="T200" s="35" t="s">
        <v>363</v>
      </c>
      <c r="U200" s="34" t="s">
        <v>360</v>
      </c>
      <c r="V200" s="35" t="s">
        <v>198</v>
      </c>
      <c r="W200" s="35" t="s">
        <v>161</v>
      </c>
      <c r="X200" s="34" t="s">
        <v>29</v>
      </c>
      <c r="Y200" s="77" t="e">
        <f>#REF!-H200</f>
        <v>#REF!</v>
      </c>
      <c r="Z200" s="78" t="e">
        <f>#REF!-J200</f>
        <v>#REF!</v>
      </c>
      <c r="AA200" s="79" t="e">
        <f>#REF!-L200</f>
        <v>#REF!</v>
      </c>
      <c r="AB200" s="78" t="e">
        <f>#REF!-N200</f>
        <v>#REF!</v>
      </c>
      <c r="AC200" s="77" t="e">
        <f>(#REF!+#REF!)-S200</f>
        <v>#REF!</v>
      </c>
      <c r="AD200" s="80" t="e">
        <f>AC200/(#REF!+#REF!)*100</f>
        <v>#REF!</v>
      </c>
      <c r="AG200" s="81"/>
      <c r="AH200" s="33" t="s">
        <v>34</v>
      </c>
    </row>
    <row r="201" spans="1:34" s="69" customFormat="1" x14ac:dyDescent="0.3">
      <c r="A201" s="101">
        <v>200</v>
      </c>
      <c r="B201" s="34" t="s">
        <v>26</v>
      </c>
      <c r="C201" s="34" t="s">
        <v>358</v>
      </c>
      <c r="D201" s="35" t="s">
        <v>205</v>
      </c>
      <c r="E201" s="35" t="s">
        <v>31</v>
      </c>
      <c r="F201" s="36" t="s">
        <v>30</v>
      </c>
      <c r="G201" s="37" t="s">
        <v>31</v>
      </c>
      <c r="H201" s="38">
        <f t="shared" si="12"/>
        <v>32204.16</v>
      </c>
      <c r="I201" s="39">
        <v>0</v>
      </c>
      <c r="J201" s="40">
        <v>28314.76</v>
      </c>
      <c r="K201" s="41">
        <f t="shared" si="15"/>
        <v>28314.76</v>
      </c>
      <c r="L201" s="42">
        <v>0</v>
      </c>
      <c r="M201" s="42"/>
      <c r="N201" s="40">
        <v>3871.82</v>
      </c>
      <c r="O201" s="43">
        <f t="shared" si="13"/>
        <v>3889.4</v>
      </c>
      <c r="P201" s="40">
        <v>3554</v>
      </c>
      <c r="Q201" s="40">
        <v>335.4</v>
      </c>
      <c r="R201" s="40"/>
      <c r="S201" s="76">
        <f t="shared" si="14"/>
        <v>28314.76</v>
      </c>
      <c r="T201" s="35" t="s">
        <v>364</v>
      </c>
      <c r="U201" s="34" t="s">
        <v>360</v>
      </c>
      <c r="V201" s="35" t="s">
        <v>205</v>
      </c>
      <c r="W201" s="35" t="s">
        <v>31</v>
      </c>
      <c r="X201" s="34" t="s">
        <v>29</v>
      </c>
      <c r="Y201" s="77" t="e">
        <f>#REF!-H201</f>
        <v>#REF!</v>
      </c>
      <c r="Z201" s="78" t="e">
        <f>#REF!-J201</f>
        <v>#REF!</v>
      </c>
      <c r="AA201" s="79" t="e">
        <f>#REF!-L201</f>
        <v>#REF!</v>
      </c>
      <c r="AB201" s="78" t="e">
        <f>#REF!-N201</f>
        <v>#REF!</v>
      </c>
      <c r="AC201" s="77" t="e">
        <f>(#REF!+#REF!)-S201</f>
        <v>#REF!</v>
      </c>
      <c r="AD201" s="80" t="e">
        <f>AC201/(#REF!+#REF!)*100</f>
        <v>#REF!</v>
      </c>
      <c r="AG201" s="81"/>
      <c r="AH201" s="33" t="s">
        <v>34</v>
      </c>
    </row>
    <row r="202" spans="1:34" s="69" customFormat="1" x14ac:dyDescent="0.3">
      <c r="A202" s="75">
        <v>201</v>
      </c>
      <c r="B202" s="34" t="s">
        <v>26</v>
      </c>
      <c r="C202" s="34" t="s">
        <v>365</v>
      </c>
      <c r="D202" s="35" t="s">
        <v>31</v>
      </c>
      <c r="E202" s="35" t="s">
        <v>29</v>
      </c>
      <c r="F202" s="36" t="s">
        <v>30</v>
      </c>
      <c r="G202" s="37" t="s">
        <v>31</v>
      </c>
      <c r="H202" s="38">
        <f t="shared" si="12"/>
        <v>38817.57</v>
      </c>
      <c r="I202" s="39">
        <v>91.12</v>
      </c>
      <c r="J202" s="40">
        <v>32536.25</v>
      </c>
      <c r="K202" s="41">
        <f t="shared" si="15"/>
        <v>32627.37</v>
      </c>
      <c r="L202" s="42">
        <f>2795.7+39.9+26.2+2.8</f>
        <v>2864.6</v>
      </c>
      <c r="M202" s="42">
        <f>26.2+43.1</f>
        <v>69.3</v>
      </c>
      <c r="N202" s="40">
        <v>4909.2</v>
      </c>
      <c r="O202" s="43">
        <f t="shared" si="13"/>
        <v>3325.6</v>
      </c>
      <c r="P202" s="40">
        <v>2510</v>
      </c>
      <c r="Q202" s="40">
        <v>815.6</v>
      </c>
      <c r="R202" s="40"/>
      <c r="S202" s="76">
        <f t="shared" si="14"/>
        <v>35491.97</v>
      </c>
      <c r="T202" s="35" t="s">
        <v>366</v>
      </c>
      <c r="U202" s="34" t="s">
        <v>367</v>
      </c>
      <c r="V202" s="35" t="s">
        <v>31</v>
      </c>
      <c r="W202" s="35" t="s">
        <v>29</v>
      </c>
      <c r="X202" s="34" t="s">
        <v>29</v>
      </c>
      <c r="Y202" s="77" t="e">
        <f>#REF!-H202</f>
        <v>#REF!</v>
      </c>
      <c r="Z202" s="78" t="e">
        <f>#REF!-J202</f>
        <v>#REF!</v>
      </c>
      <c r="AA202" s="79" t="e">
        <f>#REF!-L202</f>
        <v>#REF!</v>
      </c>
      <c r="AB202" s="78" t="e">
        <f>#REF!-N202</f>
        <v>#REF!</v>
      </c>
      <c r="AC202" s="77" t="e">
        <f>(#REF!+#REF!)-S202</f>
        <v>#REF!</v>
      </c>
      <c r="AD202" s="80" t="e">
        <f>AC202/(#REF!+#REF!)*100</f>
        <v>#REF!</v>
      </c>
      <c r="AG202" s="81"/>
      <c r="AH202" s="33" t="s">
        <v>34</v>
      </c>
    </row>
    <row r="203" spans="1:34" s="69" customFormat="1" x14ac:dyDescent="0.3">
      <c r="A203" s="75">
        <v>202</v>
      </c>
      <c r="B203" s="34" t="s">
        <v>26</v>
      </c>
      <c r="C203" s="34" t="s">
        <v>365</v>
      </c>
      <c r="D203" s="35" t="s">
        <v>368</v>
      </c>
      <c r="E203" s="35" t="s">
        <v>29</v>
      </c>
      <c r="F203" s="35" t="s">
        <v>30</v>
      </c>
      <c r="G203" s="115"/>
      <c r="H203" s="38">
        <f t="shared" si="12"/>
        <v>6657.46</v>
      </c>
      <c r="I203" s="116"/>
      <c r="J203" s="40">
        <v>5957.66</v>
      </c>
      <c r="K203" s="41">
        <f t="shared" si="15"/>
        <v>5957.66</v>
      </c>
      <c r="L203" s="42">
        <v>0</v>
      </c>
      <c r="M203" s="42"/>
      <c r="N203" s="40">
        <v>699.83</v>
      </c>
      <c r="O203" s="43">
        <f t="shared" si="13"/>
        <v>699.8</v>
      </c>
      <c r="P203" s="40">
        <v>668</v>
      </c>
      <c r="Q203" s="40">
        <v>31.8</v>
      </c>
      <c r="R203" s="40"/>
      <c r="S203" s="76">
        <f t="shared" si="14"/>
        <v>5957.66</v>
      </c>
      <c r="T203" s="35" t="s">
        <v>369</v>
      </c>
      <c r="U203" s="34" t="s">
        <v>367</v>
      </c>
      <c r="V203" s="35" t="s">
        <v>368</v>
      </c>
      <c r="W203" s="35" t="s">
        <v>29</v>
      </c>
      <c r="X203" s="34" t="s">
        <v>29</v>
      </c>
      <c r="Y203" s="77" t="e">
        <f>#REF!-H203</f>
        <v>#REF!</v>
      </c>
      <c r="Z203" s="78" t="e">
        <f>#REF!-J203</f>
        <v>#REF!</v>
      </c>
      <c r="AA203" s="79" t="e">
        <f>#REF!-L203</f>
        <v>#REF!</v>
      </c>
      <c r="AB203" s="78" t="e">
        <f>#REF!-N203</f>
        <v>#REF!</v>
      </c>
      <c r="AC203" s="77" t="e">
        <f>(#REF!+#REF!)-S203</f>
        <v>#REF!</v>
      </c>
      <c r="AD203" s="80" t="e">
        <f>AC203/(#REF!+#REF!)*100</f>
        <v>#REF!</v>
      </c>
      <c r="AG203" s="81"/>
      <c r="AH203" s="33" t="s">
        <v>34</v>
      </c>
    </row>
    <row r="204" spans="1:34" s="69" customFormat="1" ht="15" customHeight="1" x14ac:dyDescent="0.3">
      <c r="A204" s="101">
        <v>203</v>
      </c>
      <c r="B204" s="34" t="s">
        <v>26</v>
      </c>
      <c r="C204" s="34" t="s">
        <v>365</v>
      </c>
      <c r="D204" s="35" t="s">
        <v>241</v>
      </c>
      <c r="E204" s="35" t="s">
        <v>161</v>
      </c>
      <c r="F204" s="35" t="s">
        <v>30</v>
      </c>
      <c r="G204" s="115" t="s">
        <v>31</v>
      </c>
      <c r="H204" s="38">
        <f t="shared" si="12"/>
        <v>10161.000000000002</v>
      </c>
      <c r="I204" s="116"/>
      <c r="J204" s="40">
        <f>8258.7+87.2</f>
        <v>8345.9000000000015</v>
      </c>
      <c r="K204" s="41">
        <f t="shared" si="15"/>
        <v>8345.9000000000015</v>
      </c>
      <c r="L204" s="42">
        <f>87.2-87.2</f>
        <v>0</v>
      </c>
      <c r="M204" s="42"/>
      <c r="N204" s="40">
        <f>1808.4+1299.6+412.3</f>
        <v>3520.3</v>
      </c>
      <c r="O204" s="43">
        <f t="shared" si="13"/>
        <v>1815.1</v>
      </c>
      <c r="P204" s="40">
        <v>1299.5999999999999</v>
      </c>
      <c r="Q204" s="40">
        <v>83.4</v>
      </c>
      <c r="R204" s="40">
        <v>432.1</v>
      </c>
      <c r="S204" s="76">
        <f t="shared" si="14"/>
        <v>8345.9000000000015</v>
      </c>
      <c r="T204" s="35" t="s">
        <v>370</v>
      </c>
      <c r="U204" s="117" t="s">
        <v>367</v>
      </c>
      <c r="V204" s="35" t="s">
        <v>241</v>
      </c>
      <c r="W204" s="35" t="s">
        <v>161</v>
      </c>
      <c r="X204" s="34" t="s">
        <v>29</v>
      </c>
      <c r="Y204" s="77" t="e">
        <f>#REF!-H204</f>
        <v>#REF!</v>
      </c>
      <c r="Z204" s="78" t="e">
        <f>#REF!-J204</f>
        <v>#REF!</v>
      </c>
      <c r="AA204" s="79" t="e">
        <f>#REF!-L204</f>
        <v>#REF!</v>
      </c>
      <c r="AB204" s="78" t="e">
        <f>#REF!-N204</f>
        <v>#REF!</v>
      </c>
      <c r="AC204" s="77" t="e">
        <f>(#REF!+#REF!)-S204</f>
        <v>#REF!</v>
      </c>
      <c r="AD204" s="79" t="e">
        <f>AC204/(#REF!+#REF!)*100</f>
        <v>#REF!</v>
      </c>
      <c r="AG204" s="81"/>
      <c r="AH204" s="33" t="s">
        <v>34</v>
      </c>
    </row>
    <row r="205" spans="1:34" s="69" customFormat="1" ht="21" x14ac:dyDescent="0.3">
      <c r="A205" s="233">
        <v>204</v>
      </c>
      <c r="B205" s="82" t="s">
        <v>26</v>
      </c>
      <c r="C205" s="82" t="s">
        <v>365</v>
      </c>
      <c r="D205" s="83" t="s">
        <v>69</v>
      </c>
      <c r="E205" s="83" t="s">
        <v>29</v>
      </c>
      <c r="F205" s="83" t="s">
        <v>56</v>
      </c>
      <c r="G205" s="118"/>
      <c r="H205" s="86">
        <f t="shared" si="12"/>
        <v>2837.13</v>
      </c>
      <c r="I205" s="119"/>
      <c r="J205" s="88">
        <v>2538.0300000000002</v>
      </c>
      <c r="K205" s="89">
        <f t="shared" si="15"/>
        <v>2538.0300000000002</v>
      </c>
      <c r="L205" s="90">
        <v>0</v>
      </c>
      <c r="M205" s="90"/>
      <c r="N205" s="88">
        <v>299.11</v>
      </c>
      <c r="O205" s="91">
        <f t="shared" si="13"/>
        <v>299.10000000000002</v>
      </c>
      <c r="P205" s="88">
        <v>282</v>
      </c>
      <c r="Q205" s="88">
        <v>17.100000000000001</v>
      </c>
      <c r="R205" s="88"/>
      <c r="S205" s="92">
        <f t="shared" si="14"/>
        <v>2538.0300000000002</v>
      </c>
      <c r="T205" s="93" t="s">
        <v>57</v>
      </c>
      <c r="U205" s="82" t="s">
        <v>367</v>
      </c>
      <c r="V205" s="83" t="s">
        <v>69</v>
      </c>
      <c r="W205" s="83" t="s">
        <v>29</v>
      </c>
      <c r="X205" s="82" t="s">
        <v>29</v>
      </c>
      <c r="Y205" s="94" t="e">
        <f>#REF!-H205</f>
        <v>#REF!</v>
      </c>
      <c r="Z205" s="95" t="e">
        <f>#REF!-J205</f>
        <v>#REF!</v>
      </c>
      <c r="AA205" s="96" t="e">
        <f>#REF!-L205</f>
        <v>#REF!</v>
      </c>
      <c r="AB205" s="95" t="e">
        <f>#REF!-N205</f>
        <v>#REF!</v>
      </c>
      <c r="AC205" s="94" t="e">
        <f>(#REF!+#REF!)-S205</f>
        <v>#REF!</v>
      </c>
      <c r="AD205" s="96" t="e">
        <f>AC205/(#REF!+#REF!)*100</f>
        <v>#REF!</v>
      </c>
      <c r="AE205" s="98"/>
      <c r="AF205" s="98"/>
      <c r="AG205" s="99"/>
      <c r="AH205" s="100" t="s">
        <v>95</v>
      </c>
    </row>
    <row r="206" spans="1:34" s="69" customFormat="1" x14ac:dyDescent="0.3">
      <c r="A206" s="75">
        <v>205</v>
      </c>
      <c r="B206" s="34" t="s">
        <v>26</v>
      </c>
      <c r="C206" s="34" t="s">
        <v>365</v>
      </c>
      <c r="D206" s="35" t="s">
        <v>72</v>
      </c>
      <c r="E206" s="35" t="s">
        <v>69</v>
      </c>
      <c r="F206" s="35" t="s">
        <v>30</v>
      </c>
      <c r="G206" s="115" t="s">
        <v>31</v>
      </c>
      <c r="H206" s="38">
        <f t="shared" si="12"/>
        <v>5008.0999999999995</v>
      </c>
      <c r="I206" s="116"/>
      <c r="J206" s="40">
        <v>4328.3999999999996</v>
      </c>
      <c r="K206" s="41">
        <f t="shared" si="15"/>
        <v>4328.3999999999996</v>
      </c>
      <c r="L206" s="42">
        <v>0</v>
      </c>
      <c r="M206" s="42"/>
      <c r="N206" s="40">
        <v>603.5</v>
      </c>
      <c r="O206" s="43">
        <f t="shared" si="13"/>
        <v>679.7</v>
      </c>
      <c r="P206" s="40">
        <v>601.1</v>
      </c>
      <c r="Q206" s="40">
        <v>78.599999999999994</v>
      </c>
      <c r="R206" s="40"/>
      <c r="S206" s="76">
        <f t="shared" si="14"/>
        <v>4328.3999999999996</v>
      </c>
      <c r="T206" s="35" t="s">
        <v>371</v>
      </c>
      <c r="U206" s="34" t="s">
        <v>367</v>
      </c>
      <c r="V206" s="35" t="s">
        <v>72</v>
      </c>
      <c r="W206" s="35" t="s">
        <v>69</v>
      </c>
      <c r="X206" s="34" t="s">
        <v>29</v>
      </c>
      <c r="Y206" s="77" t="e">
        <f>#REF!-H206</f>
        <v>#REF!</v>
      </c>
      <c r="Z206" s="78" t="e">
        <f>#REF!-J206</f>
        <v>#REF!</v>
      </c>
      <c r="AA206" s="79" t="e">
        <f>#REF!-L206</f>
        <v>#REF!</v>
      </c>
      <c r="AB206" s="78" t="e">
        <f>#REF!-N206</f>
        <v>#REF!</v>
      </c>
      <c r="AC206" s="77" t="e">
        <f>(#REF!+#REF!)-S206</f>
        <v>#REF!</v>
      </c>
      <c r="AD206" s="79" t="e">
        <f>AC206/(#REF!+#REF!)*100</f>
        <v>#REF!</v>
      </c>
      <c r="AG206" s="81"/>
      <c r="AH206" s="33" t="s">
        <v>34</v>
      </c>
    </row>
    <row r="207" spans="1:34" s="69" customFormat="1" x14ac:dyDescent="0.3">
      <c r="A207" s="234">
        <v>206</v>
      </c>
      <c r="B207" s="82" t="s">
        <v>26</v>
      </c>
      <c r="C207" s="82" t="s">
        <v>365</v>
      </c>
      <c r="D207" s="83" t="s">
        <v>94</v>
      </c>
      <c r="E207" s="83" t="s">
        <v>241</v>
      </c>
      <c r="F207" s="83" t="s">
        <v>30</v>
      </c>
      <c r="G207" s="118" t="s">
        <v>31</v>
      </c>
      <c r="H207" s="86">
        <f t="shared" si="12"/>
        <v>6430.9</v>
      </c>
      <c r="I207" s="119"/>
      <c r="J207" s="88">
        <v>5205.2</v>
      </c>
      <c r="K207" s="89">
        <f t="shared" si="15"/>
        <v>5205.2</v>
      </c>
      <c r="L207" s="90">
        <v>0</v>
      </c>
      <c r="M207" s="90"/>
      <c r="N207" s="88">
        <v>1162.0999999999999</v>
      </c>
      <c r="O207" s="91">
        <f t="shared" si="13"/>
        <v>1225.7</v>
      </c>
      <c r="P207" s="88">
        <v>1120.2</v>
      </c>
      <c r="Q207" s="88">
        <v>105.5</v>
      </c>
      <c r="R207" s="88"/>
      <c r="S207" s="92">
        <f t="shared" si="14"/>
        <v>5205.2</v>
      </c>
      <c r="T207" s="83" t="s">
        <v>372</v>
      </c>
      <c r="U207" s="82" t="s">
        <v>367</v>
      </c>
      <c r="V207" s="83" t="s">
        <v>94</v>
      </c>
      <c r="W207" s="83" t="s">
        <v>241</v>
      </c>
      <c r="X207" s="82" t="s">
        <v>29</v>
      </c>
      <c r="Y207" s="94" t="e">
        <f>#REF!-H207</f>
        <v>#REF!</v>
      </c>
      <c r="Z207" s="95" t="e">
        <f>#REF!-J207</f>
        <v>#REF!</v>
      </c>
      <c r="AA207" s="96" t="e">
        <f>#REF!-L207</f>
        <v>#REF!</v>
      </c>
      <c r="AB207" s="95" t="e">
        <f>#REF!-N207</f>
        <v>#REF!</v>
      </c>
      <c r="AC207" s="94" t="e">
        <f>(#REF!+#REF!)-S207</f>
        <v>#REF!</v>
      </c>
      <c r="AD207" s="96" t="e">
        <f>AC207/(#REF!+#REF!)*100</f>
        <v>#REF!</v>
      </c>
      <c r="AE207" s="98"/>
      <c r="AF207" s="98"/>
      <c r="AG207" s="99"/>
      <c r="AH207" s="120" t="s">
        <v>114</v>
      </c>
    </row>
    <row r="208" spans="1:34" s="69" customFormat="1" x14ac:dyDescent="0.3">
      <c r="A208" s="75">
        <v>207</v>
      </c>
      <c r="B208" s="34" t="s">
        <v>26</v>
      </c>
      <c r="C208" s="34" t="s">
        <v>365</v>
      </c>
      <c r="D208" s="35" t="s">
        <v>78</v>
      </c>
      <c r="E208" s="35" t="s">
        <v>241</v>
      </c>
      <c r="F208" s="35" t="s">
        <v>56</v>
      </c>
      <c r="G208" s="115"/>
      <c r="H208" s="38">
        <f t="shared" si="12"/>
        <v>5051.4400000000005</v>
      </c>
      <c r="I208" s="116"/>
      <c r="J208" s="40">
        <v>3764.94</v>
      </c>
      <c r="K208" s="41">
        <f t="shared" si="15"/>
        <v>3764.94</v>
      </c>
      <c r="L208" s="42">
        <v>865.5</v>
      </c>
      <c r="M208" s="42"/>
      <c r="N208" s="40">
        <v>421</v>
      </c>
      <c r="O208" s="43">
        <f t="shared" si="13"/>
        <v>421</v>
      </c>
      <c r="P208" s="40">
        <v>382</v>
      </c>
      <c r="Q208" s="40">
        <v>39</v>
      </c>
      <c r="R208" s="40"/>
      <c r="S208" s="76">
        <f t="shared" si="14"/>
        <v>4630.4400000000005</v>
      </c>
      <c r="T208" s="35" t="s">
        <v>373</v>
      </c>
      <c r="U208" s="34" t="s">
        <v>367</v>
      </c>
      <c r="V208" s="35" t="s">
        <v>78</v>
      </c>
      <c r="W208" s="35" t="s">
        <v>241</v>
      </c>
      <c r="X208" s="34" t="s">
        <v>29</v>
      </c>
      <c r="Y208" s="77" t="e">
        <f>#REF!-H208</f>
        <v>#REF!</v>
      </c>
      <c r="Z208" s="78" t="e">
        <f>#REF!-J208</f>
        <v>#REF!</v>
      </c>
      <c r="AA208" s="79" t="e">
        <f>#REF!-L208</f>
        <v>#REF!</v>
      </c>
      <c r="AB208" s="78" t="e">
        <f>#REF!-N208</f>
        <v>#REF!</v>
      </c>
      <c r="AC208" s="77" t="e">
        <f>(#REF!+#REF!)-S208</f>
        <v>#REF!</v>
      </c>
      <c r="AD208" s="79" t="e">
        <f>AC208/(#REF!+#REF!)*100</f>
        <v>#REF!</v>
      </c>
      <c r="AG208" s="81"/>
      <c r="AH208" s="33" t="s">
        <v>34</v>
      </c>
    </row>
    <row r="209" spans="1:34" s="69" customFormat="1" ht="21" x14ac:dyDescent="0.3">
      <c r="A209" s="233">
        <v>208</v>
      </c>
      <c r="B209" s="82" t="s">
        <v>26</v>
      </c>
      <c r="C209" s="82" t="s">
        <v>365</v>
      </c>
      <c r="D209" s="83" t="s">
        <v>85</v>
      </c>
      <c r="E209" s="83" t="s">
        <v>29</v>
      </c>
      <c r="F209" s="83" t="s">
        <v>43</v>
      </c>
      <c r="G209" s="118"/>
      <c r="H209" s="86">
        <f t="shared" si="12"/>
        <v>2852.2400000000002</v>
      </c>
      <c r="I209" s="119"/>
      <c r="J209" s="88">
        <f>2537.34-0.65</f>
        <v>2536.69</v>
      </c>
      <c r="K209" s="89">
        <f t="shared" si="15"/>
        <v>2536.69</v>
      </c>
      <c r="L209" s="90">
        <v>0</v>
      </c>
      <c r="M209" s="90"/>
      <c r="N209" s="88">
        <v>276</v>
      </c>
      <c r="O209" s="91">
        <f t="shared" si="13"/>
        <v>315.55</v>
      </c>
      <c r="P209" s="88">
        <v>276</v>
      </c>
      <c r="Q209" s="88">
        <v>39.549999999999997</v>
      </c>
      <c r="R209" s="88"/>
      <c r="S209" s="92">
        <f t="shared" si="14"/>
        <v>2536.69</v>
      </c>
      <c r="T209" s="93" t="s">
        <v>57</v>
      </c>
      <c r="U209" s="82" t="s">
        <v>367</v>
      </c>
      <c r="V209" s="83" t="s">
        <v>85</v>
      </c>
      <c r="W209" s="83" t="s">
        <v>29</v>
      </c>
      <c r="X209" s="82" t="s">
        <v>29</v>
      </c>
      <c r="Y209" s="94" t="e">
        <f>#REF!-H209</f>
        <v>#REF!</v>
      </c>
      <c r="Z209" s="95" t="e">
        <f>#REF!-J209</f>
        <v>#REF!</v>
      </c>
      <c r="AA209" s="96" t="e">
        <f>#REF!-L209</f>
        <v>#REF!</v>
      </c>
      <c r="AB209" s="95" t="e">
        <f>#REF!-N209</f>
        <v>#REF!</v>
      </c>
      <c r="AC209" s="94" t="e">
        <f>(#REF!+#REF!)-S209</f>
        <v>#REF!</v>
      </c>
      <c r="AD209" s="96" t="e">
        <f>AC209/(#REF!+#REF!)*100</f>
        <v>#REF!</v>
      </c>
      <c r="AE209" s="98"/>
      <c r="AF209" s="98"/>
      <c r="AG209" s="99"/>
      <c r="AH209" s="100" t="s">
        <v>58</v>
      </c>
    </row>
    <row r="210" spans="1:34" x14ac:dyDescent="0.3">
      <c r="A210" s="232">
        <v>209</v>
      </c>
      <c r="B210" s="34" t="s">
        <v>26</v>
      </c>
      <c r="C210" s="34" t="s">
        <v>365</v>
      </c>
      <c r="D210" s="35" t="s">
        <v>374</v>
      </c>
      <c r="E210" s="35" t="s">
        <v>29</v>
      </c>
      <c r="F210" s="35" t="s">
        <v>30</v>
      </c>
      <c r="G210" s="115"/>
      <c r="H210" s="113">
        <f t="shared" si="12"/>
        <v>4034.45</v>
      </c>
      <c r="I210" s="116"/>
      <c r="J210" s="40">
        <v>2804.42</v>
      </c>
      <c r="K210" s="41">
        <f t="shared" si="15"/>
        <v>2804.42</v>
      </c>
      <c r="L210" s="42">
        <v>871.1</v>
      </c>
      <c r="M210" s="42"/>
      <c r="N210" s="42">
        <v>374.03</v>
      </c>
      <c r="O210" s="43">
        <f t="shared" si="13"/>
        <v>358.93</v>
      </c>
      <c r="P210" s="42">
        <v>339</v>
      </c>
      <c r="Q210" s="42">
        <v>19.93</v>
      </c>
      <c r="R210" s="42"/>
      <c r="S210" s="44">
        <f t="shared" si="14"/>
        <v>3675.52</v>
      </c>
      <c r="T210" s="35" t="s">
        <v>375</v>
      </c>
      <c r="U210" s="70" t="s">
        <v>367</v>
      </c>
      <c r="V210" s="71" t="s">
        <v>374</v>
      </c>
      <c r="W210" s="71" t="s">
        <v>29</v>
      </c>
      <c r="X210" s="70" t="s">
        <v>29</v>
      </c>
      <c r="Y210" s="72" t="e">
        <f>#REF!-H210</f>
        <v>#REF!</v>
      </c>
      <c r="Z210" s="73" t="e">
        <f>#REF!-J210</f>
        <v>#REF!</v>
      </c>
      <c r="AA210" s="74" t="e">
        <f>#REF!-L210</f>
        <v>#REF!</v>
      </c>
      <c r="AB210" s="73" t="e">
        <f>#REF!-N210</f>
        <v>#REF!</v>
      </c>
      <c r="AC210" s="72" t="e">
        <f>(#REF!+#REF!)-S210</f>
        <v>#REF!</v>
      </c>
      <c r="AD210" s="74" t="e">
        <f>AC210/(#REF!+#REF!)*100</f>
        <v>#REF!</v>
      </c>
      <c r="AH210" s="33" t="s">
        <v>34</v>
      </c>
    </row>
    <row r="211" spans="1:34" x14ac:dyDescent="0.3">
      <c r="A211" s="230">
        <v>210</v>
      </c>
      <c r="B211" s="34" t="s">
        <v>26</v>
      </c>
      <c r="C211" s="34" t="s">
        <v>365</v>
      </c>
      <c r="D211" s="35" t="s">
        <v>374</v>
      </c>
      <c r="E211" s="35" t="s">
        <v>29</v>
      </c>
      <c r="F211" s="35" t="s">
        <v>43</v>
      </c>
      <c r="G211" s="115"/>
      <c r="H211" s="113">
        <f t="shared" si="12"/>
        <v>4791.1100000000006</v>
      </c>
      <c r="I211" s="116"/>
      <c r="J211" s="40">
        <v>4274.3100000000004</v>
      </c>
      <c r="K211" s="41">
        <f t="shared" si="15"/>
        <v>4274.3100000000004</v>
      </c>
      <c r="L211" s="42">
        <v>31.1</v>
      </c>
      <c r="M211" s="42"/>
      <c r="N211" s="42">
        <v>454.6</v>
      </c>
      <c r="O211" s="43">
        <f t="shared" si="13"/>
        <v>485.7</v>
      </c>
      <c r="P211" s="42">
        <v>450</v>
      </c>
      <c r="Q211" s="42">
        <v>35.700000000000003</v>
      </c>
      <c r="R211" s="42"/>
      <c r="S211" s="44">
        <f t="shared" si="14"/>
        <v>4305.4100000000008</v>
      </c>
      <c r="T211" s="35" t="s">
        <v>376</v>
      </c>
      <c r="U211" s="70" t="s">
        <v>367</v>
      </c>
      <c r="V211" s="71" t="s">
        <v>374</v>
      </c>
      <c r="W211" s="71" t="s">
        <v>29</v>
      </c>
      <c r="X211" s="70" t="s">
        <v>29</v>
      </c>
      <c r="Y211" s="72" t="e">
        <f>#REF!-H211</f>
        <v>#REF!</v>
      </c>
      <c r="Z211" s="73" t="e">
        <f>#REF!-J211</f>
        <v>#REF!</v>
      </c>
      <c r="AA211" s="74" t="e">
        <f>#REF!-L211</f>
        <v>#REF!</v>
      </c>
      <c r="AB211" s="73" t="e">
        <f>#REF!-N211</f>
        <v>#REF!</v>
      </c>
      <c r="AC211" s="72" t="e">
        <f>(#REF!+#REF!)-S211</f>
        <v>#REF!</v>
      </c>
      <c r="AD211" s="74" t="e">
        <f>AC211/(#REF!+#REF!)*100</f>
        <v>#REF!</v>
      </c>
      <c r="AH211" s="33" t="s">
        <v>34</v>
      </c>
    </row>
    <row r="212" spans="1:34" x14ac:dyDescent="0.3">
      <c r="A212" s="230">
        <v>211</v>
      </c>
      <c r="B212" s="121" t="s">
        <v>178</v>
      </c>
      <c r="C212" s="121" t="s">
        <v>377</v>
      </c>
      <c r="D212" s="122" t="s">
        <v>85</v>
      </c>
      <c r="E212" s="122" t="s">
        <v>29</v>
      </c>
      <c r="F212" s="122" t="s">
        <v>30</v>
      </c>
      <c r="G212" s="123"/>
      <c r="H212" s="124">
        <f t="shared" si="12"/>
        <v>2672.3999999999996</v>
      </c>
      <c r="I212" s="125"/>
      <c r="J212" s="126">
        <f>2005+43.2</f>
        <v>2048.1999999999998</v>
      </c>
      <c r="K212" s="127">
        <f t="shared" si="15"/>
        <v>2048.1999999999998</v>
      </c>
      <c r="L212" s="128">
        <v>114</v>
      </c>
      <c r="M212" s="128"/>
      <c r="N212" s="126">
        <v>499.44</v>
      </c>
      <c r="O212" s="129">
        <f t="shared" si="13"/>
        <v>510.2</v>
      </c>
      <c r="P212" s="127">
        <f>470</f>
        <v>470</v>
      </c>
      <c r="Q212" s="127">
        <f>40.2</f>
        <v>40.200000000000003</v>
      </c>
      <c r="R212" s="126"/>
      <c r="S212" s="130">
        <f t="shared" si="14"/>
        <v>2162.1999999999998</v>
      </c>
      <c r="T212" s="122" t="s">
        <v>378</v>
      </c>
      <c r="U212" s="121" t="s">
        <v>379</v>
      </c>
      <c r="V212" s="122" t="s">
        <v>85</v>
      </c>
      <c r="W212" s="122" t="s">
        <v>29</v>
      </c>
      <c r="X212" s="121" t="s">
        <v>29</v>
      </c>
      <c r="Y212" s="131" t="e">
        <f>#REF!-H212</f>
        <v>#REF!</v>
      </c>
      <c r="Z212" s="132" t="e">
        <f>#REF!-J212</f>
        <v>#REF!</v>
      </c>
      <c r="AA212" s="133" t="e">
        <f>#REF!-L212</f>
        <v>#REF!</v>
      </c>
      <c r="AB212" s="132" t="e">
        <f>#REF!-N212</f>
        <v>#REF!</v>
      </c>
      <c r="AC212" s="131" t="e">
        <f>(#REF!+#REF!)-S212</f>
        <v>#REF!</v>
      </c>
      <c r="AD212" s="133" t="e">
        <f>AC212/(#REF!+#REF!)*100</f>
        <v>#REF!</v>
      </c>
      <c r="AE212" s="134">
        <f>N212/510.2</f>
        <v>0.97891023128185028</v>
      </c>
      <c r="AF212" s="134">
        <v>510.2</v>
      </c>
      <c r="AG212" s="135"/>
      <c r="AH212" s="68" t="s">
        <v>39</v>
      </c>
    </row>
    <row r="213" spans="1:34" s="69" customFormat="1" x14ac:dyDescent="0.3">
      <c r="A213" s="75">
        <v>213</v>
      </c>
      <c r="B213" s="34" t="s">
        <v>26</v>
      </c>
      <c r="C213" s="34" t="s">
        <v>380</v>
      </c>
      <c r="D213" s="35" t="s">
        <v>381</v>
      </c>
      <c r="E213" s="35" t="s">
        <v>29</v>
      </c>
      <c r="F213" s="35" t="s">
        <v>30</v>
      </c>
      <c r="G213" s="115"/>
      <c r="H213" s="38">
        <f t="shared" si="12"/>
        <v>2517.4</v>
      </c>
      <c r="I213" s="116"/>
      <c r="J213" s="40">
        <f>1769.31-0.01</f>
        <v>1769.3</v>
      </c>
      <c r="K213" s="41">
        <f t="shared" si="15"/>
        <v>1769.3</v>
      </c>
      <c r="L213" s="42">
        <f>325.4+3.5+138.9</f>
        <v>467.79999999999995</v>
      </c>
      <c r="M213" s="42">
        <v>138.9</v>
      </c>
      <c r="N213" s="40">
        <v>436.26</v>
      </c>
      <c r="O213" s="43">
        <f>P213+Q213+R213</f>
        <v>280.3</v>
      </c>
      <c r="P213" s="40">
        <v>198</v>
      </c>
      <c r="Q213" s="40">
        <v>82.3</v>
      </c>
      <c r="R213" s="40"/>
      <c r="S213" s="76">
        <f t="shared" si="14"/>
        <v>2237.1</v>
      </c>
      <c r="T213" s="35" t="s">
        <v>382</v>
      </c>
      <c r="U213" s="34" t="s">
        <v>383</v>
      </c>
      <c r="V213" s="35" t="s">
        <v>384</v>
      </c>
      <c r="W213" s="35" t="s">
        <v>29</v>
      </c>
      <c r="X213" s="34" t="s">
        <v>29</v>
      </c>
      <c r="Y213" s="77" t="e">
        <f>#REF!-H213</f>
        <v>#REF!</v>
      </c>
      <c r="Z213" s="78" t="e">
        <f>#REF!-J213</f>
        <v>#REF!</v>
      </c>
      <c r="AA213" s="79" t="e">
        <f>#REF!-L213</f>
        <v>#REF!</v>
      </c>
      <c r="AB213" s="78" t="e">
        <f>#REF!-N213</f>
        <v>#REF!</v>
      </c>
      <c r="AC213" s="77" t="e">
        <f>(#REF!+#REF!)-S213</f>
        <v>#REF!</v>
      </c>
      <c r="AD213" s="79" t="e">
        <f>AC213/(#REF!+#REF!)*100</f>
        <v>#REF!</v>
      </c>
      <c r="AG213" s="81"/>
      <c r="AH213" s="33" t="s">
        <v>34</v>
      </c>
    </row>
    <row r="214" spans="1:34" s="69" customFormat="1" x14ac:dyDescent="0.3">
      <c r="A214" s="75">
        <v>214</v>
      </c>
      <c r="B214" s="34" t="s">
        <v>26</v>
      </c>
      <c r="C214" s="34" t="s">
        <v>380</v>
      </c>
      <c r="D214" s="35" t="s">
        <v>385</v>
      </c>
      <c r="E214" s="35" t="s">
        <v>29</v>
      </c>
      <c r="F214" s="35" t="s">
        <v>30</v>
      </c>
      <c r="G214" s="115" t="s">
        <v>31</v>
      </c>
      <c r="H214" s="38">
        <f t="shared" si="12"/>
        <v>2378.7199999999998</v>
      </c>
      <c r="I214" s="116"/>
      <c r="J214" s="40">
        <v>1836.62</v>
      </c>
      <c r="K214" s="41">
        <f t="shared" si="15"/>
        <v>1836.62</v>
      </c>
      <c r="L214" s="42">
        <v>211.1</v>
      </c>
      <c r="M214" s="42"/>
      <c r="N214" s="40">
        <v>331</v>
      </c>
      <c r="O214" s="43">
        <f>P214+Q214+R214</f>
        <v>331</v>
      </c>
      <c r="P214" s="40">
        <v>331</v>
      </c>
      <c r="Q214" s="40"/>
      <c r="R214" s="40"/>
      <c r="S214" s="76">
        <f t="shared" si="14"/>
        <v>2047.7199999999998</v>
      </c>
      <c r="T214" s="35" t="s">
        <v>386</v>
      </c>
      <c r="U214" s="34" t="s">
        <v>383</v>
      </c>
      <c r="V214" s="35" t="s">
        <v>387</v>
      </c>
      <c r="W214" s="35" t="s">
        <v>29</v>
      </c>
      <c r="X214" s="34" t="s">
        <v>29</v>
      </c>
      <c r="Y214" s="77" t="e">
        <f>#REF!-H214</f>
        <v>#REF!</v>
      </c>
      <c r="Z214" s="78" t="e">
        <f>#REF!-J214</f>
        <v>#REF!</v>
      </c>
      <c r="AA214" s="79" t="e">
        <f>#REF!-L214</f>
        <v>#REF!</v>
      </c>
      <c r="AB214" s="78" t="e">
        <f>#REF!-N214</f>
        <v>#REF!</v>
      </c>
      <c r="AC214" s="77" t="e">
        <f>(#REF!+#REF!)-S214</f>
        <v>#REF!</v>
      </c>
      <c r="AD214" s="79" t="e">
        <f>AC214/(#REF!+#REF!)*100</f>
        <v>#REF!</v>
      </c>
      <c r="AG214" s="81"/>
      <c r="AH214" s="33" t="s">
        <v>34</v>
      </c>
    </row>
    <row r="215" spans="1:34" s="69" customFormat="1" x14ac:dyDescent="0.3">
      <c r="A215" s="101">
        <v>215</v>
      </c>
      <c r="B215" s="34" t="s">
        <v>26</v>
      </c>
      <c r="C215" s="34" t="s">
        <v>380</v>
      </c>
      <c r="D215" s="35" t="s">
        <v>388</v>
      </c>
      <c r="E215" s="35" t="s">
        <v>29</v>
      </c>
      <c r="F215" s="35" t="s">
        <v>30</v>
      </c>
      <c r="G215" s="115" t="s">
        <v>31</v>
      </c>
      <c r="H215" s="38">
        <f t="shared" si="12"/>
        <v>1171.3399999999999</v>
      </c>
      <c r="I215" s="116"/>
      <c r="J215" s="40">
        <v>869.04</v>
      </c>
      <c r="K215" s="41">
        <f t="shared" si="15"/>
        <v>869.04</v>
      </c>
      <c r="L215" s="42">
        <v>180.3</v>
      </c>
      <c r="M215" s="42"/>
      <c r="N215" s="40">
        <v>122</v>
      </c>
      <c r="O215" s="43">
        <f t="shared" ref="O215:O249" si="16">P215+Q215+R215</f>
        <v>122</v>
      </c>
      <c r="P215" s="40">
        <v>122</v>
      </c>
      <c r="Q215" s="40"/>
      <c r="R215" s="40"/>
      <c r="S215" s="76">
        <f t="shared" si="14"/>
        <v>1049.3399999999999</v>
      </c>
      <c r="T215" s="35" t="s">
        <v>389</v>
      </c>
      <c r="U215" s="34" t="s">
        <v>383</v>
      </c>
      <c r="V215" s="35" t="s">
        <v>388</v>
      </c>
      <c r="W215" s="35" t="s">
        <v>29</v>
      </c>
      <c r="X215" s="34" t="s">
        <v>29</v>
      </c>
      <c r="Y215" s="77" t="e">
        <f>#REF!-H215</f>
        <v>#REF!</v>
      </c>
      <c r="Z215" s="78" t="e">
        <f>#REF!-J215</f>
        <v>#REF!</v>
      </c>
      <c r="AA215" s="79" t="e">
        <f>#REF!-L215</f>
        <v>#REF!</v>
      </c>
      <c r="AB215" s="78" t="e">
        <f>#REF!-N215</f>
        <v>#REF!</v>
      </c>
      <c r="AC215" s="77" t="e">
        <f>(#REF!+#REF!)-S215</f>
        <v>#REF!</v>
      </c>
      <c r="AD215" s="79" t="e">
        <f>AC215/(#REF!+#REF!)*100</f>
        <v>#REF!</v>
      </c>
      <c r="AG215" s="81"/>
      <c r="AH215" s="33" t="s">
        <v>34</v>
      </c>
    </row>
    <row r="216" spans="1:34" s="69" customFormat="1" ht="21" x14ac:dyDescent="0.3">
      <c r="A216" s="233">
        <v>216</v>
      </c>
      <c r="B216" s="82" t="s">
        <v>26</v>
      </c>
      <c r="C216" s="82" t="s">
        <v>380</v>
      </c>
      <c r="D216" s="83" t="s">
        <v>80</v>
      </c>
      <c r="E216" s="83" t="s">
        <v>29</v>
      </c>
      <c r="F216" s="83" t="s">
        <v>30</v>
      </c>
      <c r="G216" s="118"/>
      <c r="H216" s="102">
        <f t="shared" si="12"/>
        <v>6421.89</v>
      </c>
      <c r="I216" s="119"/>
      <c r="J216" s="88">
        <v>5132.3900000000003</v>
      </c>
      <c r="K216" s="89">
        <f t="shared" si="15"/>
        <v>5132.3900000000003</v>
      </c>
      <c r="L216" s="103">
        <f>667.5+11.4+39.2</f>
        <v>718.1</v>
      </c>
      <c r="M216" s="103">
        <f>273+67.1+39.2</f>
        <v>379.3</v>
      </c>
      <c r="N216" s="88">
        <v>1078.79</v>
      </c>
      <c r="O216" s="91">
        <f t="shared" si="16"/>
        <v>571.4</v>
      </c>
      <c r="P216" s="88">
        <v>539</v>
      </c>
      <c r="Q216" s="88">
        <v>32.4</v>
      </c>
      <c r="R216" s="88"/>
      <c r="S216" s="92">
        <f t="shared" si="14"/>
        <v>5850.4900000000007</v>
      </c>
      <c r="T216" s="93" t="s">
        <v>57</v>
      </c>
      <c r="U216" s="82" t="s">
        <v>383</v>
      </c>
      <c r="V216" s="83" t="s">
        <v>80</v>
      </c>
      <c r="W216" s="83" t="s">
        <v>29</v>
      </c>
      <c r="X216" s="82" t="s">
        <v>29</v>
      </c>
      <c r="Y216" s="94" t="e">
        <f>#REF!-H216</f>
        <v>#REF!</v>
      </c>
      <c r="Z216" s="95" t="e">
        <f>#REF!-J216</f>
        <v>#REF!</v>
      </c>
      <c r="AA216" s="96" t="e">
        <f>#REF!-L216</f>
        <v>#REF!</v>
      </c>
      <c r="AB216" s="95" t="e">
        <f>#REF!-N216</f>
        <v>#REF!</v>
      </c>
      <c r="AC216" s="94" t="e">
        <f>(#REF!+#REF!)-S216</f>
        <v>#REF!</v>
      </c>
      <c r="AD216" s="96" t="e">
        <f>AC216/(#REF!+#REF!)*100</f>
        <v>#REF!</v>
      </c>
      <c r="AE216" s="98"/>
      <c r="AF216" s="98"/>
      <c r="AG216" s="99"/>
      <c r="AH216" s="136" t="s">
        <v>114</v>
      </c>
    </row>
    <row r="217" spans="1:34" s="69" customFormat="1" x14ac:dyDescent="0.3">
      <c r="A217" s="75">
        <v>217</v>
      </c>
      <c r="B217" s="34" t="s">
        <v>26</v>
      </c>
      <c r="C217" s="34" t="s">
        <v>380</v>
      </c>
      <c r="D217" s="35" t="s">
        <v>83</v>
      </c>
      <c r="E217" s="35" t="s">
        <v>29</v>
      </c>
      <c r="F217" s="35" t="s">
        <v>30</v>
      </c>
      <c r="G217" s="115"/>
      <c r="H217" s="38">
        <f t="shared" si="12"/>
        <v>1980.7800000000002</v>
      </c>
      <c r="I217" s="116"/>
      <c r="J217" s="40">
        <v>1487.45</v>
      </c>
      <c r="K217" s="41">
        <f t="shared" si="15"/>
        <v>1487.45</v>
      </c>
      <c r="L217" s="42">
        <v>274.45999999999998</v>
      </c>
      <c r="M217" s="42"/>
      <c r="N217" s="40">
        <v>218.87</v>
      </c>
      <c r="O217" s="43">
        <f t="shared" si="16"/>
        <v>218.87</v>
      </c>
      <c r="P217" s="41">
        <f>510*AE217</f>
        <v>198.44213333333335</v>
      </c>
      <c r="Q217" s="41">
        <f>52.5*AE217</f>
        <v>20.427866666666667</v>
      </c>
      <c r="R217" s="40"/>
      <c r="S217" s="76">
        <f t="shared" si="14"/>
        <v>1761.91</v>
      </c>
      <c r="T217" s="35" t="s">
        <v>390</v>
      </c>
      <c r="U217" s="34" t="s">
        <v>383</v>
      </c>
      <c r="V217" s="35" t="s">
        <v>83</v>
      </c>
      <c r="W217" s="35" t="s">
        <v>29</v>
      </c>
      <c r="X217" s="34" t="s">
        <v>29</v>
      </c>
      <c r="Y217" s="77" t="e">
        <f>#REF!-H217</f>
        <v>#REF!</v>
      </c>
      <c r="Z217" s="78" t="e">
        <f>#REF!-J217</f>
        <v>#REF!</v>
      </c>
      <c r="AA217" s="79" t="e">
        <f>#REF!-L217</f>
        <v>#REF!</v>
      </c>
      <c r="AB217" s="78" t="e">
        <f>#REF!-N217</f>
        <v>#REF!</v>
      </c>
      <c r="AC217" s="77" t="e">
        <f>(#REF!+#REF!)-S217</f>
        <v>#REF!</v>
      </c>
      <c r="AD217" s="79" t="e">
        <f>AC217/(#REF!+#REF!)*100</f>
        <v>#REF!</v>
      </c>
      <c r="AE217" s="69">
        <f>N217/562.5</f>
        <v>0.38910222222222224</v>
      </c>
      <c r="AF217" s="69">
        <v>562.5</v>
      </c>
      <c r="AG217" s="81"/>
      <c r="AH217" s="33" t="s">
        <v>34</v>
      </c>
    </row>
    <row r="218" spans="1:34" s="69" customFormat="1" x14ac:dyDescent="0.3">
      <c r="A218" s="101">
        <v>218</v>
      </c>
      <c r="B218" s="34" t="s">
        <v>26</v>
      </c>
      <c r="C218" s="34" t="s">
        <v>380</v>
      </c>
      <c r="D218" s="35" t="s">
        <v>83</v>
      </c>
      <c r="E218" s="35" t="s">
        <v>29</v>
      </c>
      <c r="F218" s="35" t="s">
        <v>30</v>
      </c>
      <c r="G218" s="115"/>
      <c r="H218" s="38">
        <f t="shared" si="12"/>
        <v>3100.7599999999998</v>
      </c>
      <c r="I218" s="116">
        <v>46.87</v>
      </c>
      <c r="J218" s="40">
        <f>2335.38-46.8</f>
        <v>2288.58</v>
      </c>
      <c r="K218" s="41">
        <f t="shared" si="15"/>
        <v>2335.4499999999998</v>
      </c>
      <c r="L218" s="42">
        <f>430.9-9.22</f>
        <v>421.67999999999995</v>
      </c>
      <c r="M218" s="42"/>
      <c r="N218" s="40">
        <v>343.63</v>
      </c>
      <c r="O218" s="43">
        <f t="shared" si="16"/>
        <v>343.63</v>
      </c>
      <c r="P218" s="41">
        <f>510*AE218</f>
        <v>311.55786666666665</v>
      </c>
      <c r="Q218" s="41">
        <f>52.5*AE218</f>
        <v>32.072133333333333</v>
      </c>
      <c r="R218" s="40"/>
      <c r="S218" s="76">
        <f t="shared" si="14"/>
        <v>2757.1299999999997</v>
      </c>
      <c r="T218" s="35" t="s">
        <v>391</v>
      </c>
      <c r="U218" s="34" t="s">
        <v>383</v>
      </c>
      <c r="V218" s="35" t="s">
        <v>83</v>
      </c>
      <c r="W218" s="35" t="s">
        <v>29</v>
      </c>
      <c r="X218" s="34" t="s">
        <v>29</v>
      </c>
      <c r="Y218" s="77" t="e">
        <f>#REF!-H218</f>
        <v>#REF!</v>
      </c>
      <c r="Z218" s="78" t="e">
        <f>#REF!-J218</f>
        <v>#REF!</v>
      </c>
      <c r="AA218" s="79" t="e">
        <f>#REF!-L218</f>
        <v>#REF!</v>
      </c>
      <c r="AB218" s="78" t="e">
        <f>#REF!-N218</f>
        <v>#REF!</v>
      </c>
      <c r="AC218" s="77" t="e">
        <f>(#REF!+#REF!)-S218</f>
        <v>#REF!</v>
      </c>
      <c r="AD218" s="79" t="e">
        <f>AC218/(#REF!+#REF!)*100</f>
        <v>#REF!</v>
      </c>
      <c r="AE218" s="69">
        <f>N218/562.5</f>
        <v>0.61089777777777776</v>
      </c>
      <c r="AG218" s="81"/>
      <c r="AH218" s="33" t="s">
        <v>34</v>
      </c>
    </row>
    <row r="219" spans="1:34" s="69" customFormat="1" x14ac:dyDescent="0.3">
      <c r="A219" s="75">
        <v>219</v>
      </c>
      <c r="B219" s="34" t="s">
        <v>26</v>
      </c>
      <c r="C219" s="34" t="s">
        <v>380</v>
      </c>
      <c r="D219" s="35" t="s">
        <v>107</v>
      </c>
      <c r="E219" s="35" t="s">
        <v>392</v>
      </c>
      <c r="F219" s="35" t="s">
        <v>30</v>
      </c>
      <c r="G219" s="115" t="s">
        <v>31</v>
      </c>
      <c r="H219" s="38">
        <f t="shared" si="12"/>
        <v>2596.2800000000002</v>
      </c>
      <c r="I219" s="116"/>
      <c r="J219" s="40">
        <v>2024.98</v>
      </c>
      <c r="K219" s="41">
        <f t="shared" si="15"/>
        <v>2024.98</v>
      </c>
      <c r="L219" s="42">
        <v>305.39999999999998</v>
      </c>
      <c r="M219" s="42"/>
      <c r="N219" s="40">
        <v>265.89999999999998</v>
      </c>
      <c r="O219" s="43">
        <f t="shared" si="16"/>
        <v>265.89999999999998</v>
      </c>
      <c r="P219" s="40">
        <v>244</v>
      </c>
      <c r="Q219" s="40">
        <v>21.9</v>
      </c>
      <c r="R219" s="40"/>
      <c r="S219" s="76">
        <f t="shared" si="14"/>
        <v>2330.38</v>
      </c>
      <c r="T219" s="35" t="s">
        <v>393</v>
      </c>
      <c r="U219" s="34" t="s">
        <v>383</v>
      </c>
      <c r="V219" s="35" t="s">
        <v>107</v>
      </c>
      <c r="W219" s="35" t="s">
        <v>29</v>
      </c>
      <c r="X219" s="34" t="s">
        <v>29</v>
      </c>
      <c r="Y219" s="77" t="e">
        <f>#REF!-H219</f>
        <v>#REF!</v>
      </c>
      <c r="Z219" s="78" t="e">
        <f>#REF!-J219</f>
        <v>#REF!</v>
      </c>
      <c r="AA219" s="79" t="e">
        <f>#REF!-L219</f>
        <v>#REF!</v>
      </c>
      <c r="AB219" s="78" t="e">
        <f>#REF!-N219</f>
        <v>#REF!</v>
      </c>
      <c r="AC219" s="77" t="e">
        <f>(#REF!+#REF!)-S219</f>
        <v>#REF!</v>
      </c>
      <c r="AD219" s="79" t="e">
        <f>AC219/(#REF!+#REF!)*100</f>
        <v>#REF!</v>
      </c>
      <c r="AG219" s="81"/>
      <c r="AH219" s="33" t="s">
        <v>34</v>
      </c>
    </row>
    <row r="220" spans="1:34" s="69" customFormat="1" x14ac:dyDescent="0.3">
      <c r="A220" s="75">
        <v>220</v>
      </c>
      <c r="B220" s="34" t="s">
        <v>26</v>
      </c>
      <c r="C220" s="34" t="s">
        <v>380</v>
      </c>
      <c r="D220" s="35" t="s">
        <v>109</v>
      </c>
      <c r="E220" s="35" t="s">
        <v>29</v>
      </c>
      <c r="F220" s="35" t="s">
        <v>30</v>
      </c>
      <c r="G220" s="115" t="s">
        <v>31</v>
      </c>
      <c r="H220" s="38">
        <f t="shared" si="12"/>
        <v>18892.009999999998</v>
      </c>
      <c r="I220" s="116"/>
      <c r="J220" s="40">
        <f>13634.85+48.36</f>
        <v>13683.210000000001</v>
      </c>
      <c r="K220" s="41">
        <f t="shared" si="15"/>
        <v>13683.210000000001</v>
      </c>
      <c r="L220" s="42">
        <v>2619.6999999999998</v>
      </c>
      <c r="M220" s="42"/>
      <c r="N220" s="40">
        <v>2589.1</v>
      </c>
      <c r="O220" s="43">
        <f t="shared" si="16"/>
        <v>2589.1</v>
      </c>
      <c r="P220" s="40">
        <v>2414</v>
      </c>
      <c r="Q220" s="40">
        <v>175.1</v>
      </c>
      <c r="R220" s="40"/>
      <c r="S220" s="76">
        <f t="shared" si="14"/>
        <v>16302.91</v>
      </c>
      <c r="T220" s="35" t="s">
        <v>394</v>
      </c>
      <c r="U220" s="34" t="s">
        <v>383</v>
      </c>
      <c r="V220" s="35" t="s">
        <v>109</v>
      </c>
      <c r="W220" s="35" t="s">
        <v>29</v>
      </c>
      <c r="X220" s="34" t="s">
        <v>29</v>
      </c>
      <c r="Y220" s="77" t="e">
        <f>#REF!-H220</f>
        <v>#REF!</v>
      </c>
      <c r="Z220" s="78" t="e">
        <f>#REF!-J220</f>
        <v>#REF!</v>
      </c>
      <c r="AA220" s="79" t="e">
        <f>#REF!-L220</f>
        <v>#REF!</v>
      </c>
      <c r="AB220" s="78" t="e">
        <f>#REF!-N220</f>
        <v>#REF!</v>
      </c>
      <c r="AC220" s="77" t="e">
        <f>(#REF!+#REF!)-S220</f>
        <v>#REF!</v>
      </c>
      <c r="AD220" s="79" t="e">
        <f>AC220/(#REF!+#REF!)*100</f>
        <v>#REF!</v>
      </c>
      <c r="AG220" s="81"/>
      <c r="AH220" s="33" t="s">
        <v>34</v>
      </c>
    </row>
    <row r="221" spans="1:34" s="69" customFormat="1" x14ac:dyDescent="0.3">
      <c r="A221" s="101">
        <v>221</v>
      </c>
      <c r="B221" s="34" t="s">
        <v>26</v>
      </c>
      <c r="C221" s="34" t="s">
        <v>380</v>
      </c>
      <c r="D221" s="35" t="s">
        <v>258</v>
      </c>
      <c r="E221" s="35" t="s">
        <v>29</v>
      </c>
      <c r="F221" s="35" t="s">
        <v>30</v>
      </c>
      <c r="G221" s="115"/>
      <c r="H221" s="105">
        <f t="shared" si="12"/>
        <v>3351.9100000000003</v>
      </c>
      <c r="I221" s="116"/>
      <c r="J221" s="40">
        <v>2496.5100000000002</v>
      </c>
      <c r="K221" s="41">
        <f t="shared" si="15"/>
        <v>2496.5100000000002</v>
      </c>
      <c r="L221" s="106">
        <f>405.6+88.9</f>
        <v>494.5</v>
      </c>
      <c r="M221" s="106">
        <v>88.9</v>
      </c>
      <c r="N221" s="40">
        <v>346.4</v>
      </c>
      <c r="O221" s="39">
        <f t="shared" si="16"/>
        <v>360.9</v>
      </c>
      <c r="P221" s="40">
        <v>329</v>
      </c>
      <c r="Q221" s="40">
        <v>23.4</v>
      </c>
      <c r="R221" s="40">
        <v>8.5</v>
      </c>
      <c r="S221" s="76">
        <f t="shared" si="14"/>
        <v>2991.01</v>
      </c>
      <c r="T221" s="35" t="s">
        <v>395</v>
      </c>
      <c r="U221" s="34" t="s">
        <v>383</v>
      </c>
      <c r="V221" s="35" t="s">
        <v>258</v>
      </c>
      <c r="W221" s="35" t="s">
        <v>29</v>
      </c>
      <c r="X221" s="34" t="s">
        <v>29</v>
      </c>
      <c r="Y221" s="77" t="e">
        <f>#REF!-H221</f>
        <v>#REF!</v>
      </c>
      <c r="Z221" s="78" t="e">
        <f>#REF!-J221</f>
        <v>#REF!</v>
      </c>
      <c r="AA221" s="79" t="e">
        <f>#REF!-L221</f>
        <v>#REF!</v>
      </c>
      <c r="AB221" s="78" t="e">
        <f>#REF!-N221</f>
        <v>#REF!</v>
      </c>
      <c r="AC221" s="77" t="e">
        <f>(#REF!+#REF!)-S221</f>
        <v>#REF!</v>
      </c>
      <c r="AD221" s="79" t="e">
        <f>AC221/(#REF!+#REF!)*100</f>
        <v>#REF!</v>
      </c>
      <c r="AG221" s="81"/>
      <c r="AH221" s="33" t="s">
        <v>34</v>
      </c>
    </row>
    <row r="222" spans="1:34" s="69" customFormat="1" x14ac:dyDescent="0.3">
      <c r="A222" s="75">
        <v>222</v>
      </c>
      <c r="B222" s="34" t="s">
        <v>26</v>
      </c>
      <c r="C222" s="34" t="s">
        <v>380</v>
      </c>
      <c r="D222" s="35" t="s">
        <v>205</v>
      </c>
      <c r="E222" s="35" t="s">
        <v>31</v>
      </c>
      <c r="F222" s="35" t="s">
        <v>30</v>
      </c>
      <c r="G222" s="115"/>
      <c r="H222" s="38">
        <f t="shared" si="12"/>
        <v>2816.75</v>
      </c>
      <c r="I222" s="116"/>
      <c r="J222" s="40">
        <v>2371.5300000000002</v>
      </c>
      <c r="K222" s="41">
        <f t="shared" si="15"/>
        <v>2371.5300000000002</v>
      </c>
      <c r="L222" s="42">
        <v>144.02000000000001</v>
      </c>
      <c r="M222" s="42"/>
      <c r="N222" s="40">
        <v>301.12</v>
      </c>
      <c r="O222" s="43">
        <f t="shared" si="16"/>
        <v>301.2</v>
      </c>
      <c r="P222" s="40">
        <v>262</v>
      </c>
      <c r="Q222" s="40">
        <v>39.200000000000003</v>
      </c>
      <c r="R222" s="40"/>
      <c r="S222" s="76">
        <f t="shared" si="14"/>
        <v>2515.5500000000002</v>
      </c>
      <c r="T222" s="35" t="s">
        <v>396</v>
      </c>
      <c r="U222" s="34" t="s">
        <v>383</v>
      </c>
      <c r="V222" s="35" t="s">
        <v>205</v>
      </c>
      <c r="W222" s="35" t="s">
        <v>31</v>
      </c>
      <c r="X222" s="34" t="s">
        <v>29</v>
      </c>
      <c r="Y222" s="77" t="e">
        <f>#REF!-H222</f>
        <v>#REF!</v>
      </c>
      <c r="Z222" s="78" t="e">
        <f>#REF!-J222</f>
        <v>#REF!</v>
      </c>
      <c r="AA222" s="79" t="e">
        <f>#REF!-L222</f>
        <v>#REF!</v>
      </c>
      <c r="AB222" s="78" t="e">
        <f>#REF!-N222</f>
        <v>#REF!</v>
      </c>
      <c r="AC222" s="77" t="e">
        <f>(#REF!+#REF!)-S222</f>
        <v>#REF!</v>
      </c>
      <c r="AD222" s="79" t="e">
        <f>AC222/(#REF!+#REF!)*100</f>
        <v>#REF!</v>
      </c>
      <c r="AG222" s="81"/>
      <c r="AH222" s="33" t="s">
        <v>34</v>
      </c>
    </row>
    <row r="223" spans="1:34" s="69" customFormat="1" x14ac:dyDescent="0.3">
      <c r="A223" s="75">
        <v>223</v>
      </c>
      <c r="B223" s="34" t="s">
        <v>26</v>
      </c>
      <c r="C223" s="34" t="s">
        <v>380</v>
      </c>
      <c r="D223" s="35" t="s">
        <v>205</v>
      </c>
      <c r="E223" s="35" t="s">
        <v>161</v>
      </c>
      <c r="F223" s="35" t="s">
        <v>238</v>
      </c>
      <c r="G223" s="115"/>
      <c r="H223" s="38">
        <f t="shared" si="12"/>
        <v>2848.27</v>
      </c>
      <c r="I223" s="116"/>
      <c r="J223" s="40">
        <v>2543.38</v>
      </c>
      <c r="K223" s="41">
        <f t="shared" si="15"/>
        <v>2543.38</v>
      </c>
      <c r="L223" s="42">
        <v>0</v>
      </c>
      <c r="M223" s="42"/>
      <c r="N223" s="40">
        <v>304.89</v>
      </c>
      <c r="O223" s="43">
        <f t="shared" si="16"/>
        <v>304.89</v>
      </c>
      <c r="P223" s="40">
        <v>266</v>
      </c>
      <c r="Q223" s="40">
        <v>38.89</v>
      </c>
      <c r="R223" s="40"/>
      <c r="S223" s="76">
        <f t="shared" si="14"/>
        <v>2543.38</v>
      </c>
      <c r="T223" s="35" t="s">
        <v>397</v>
      </c>
      <c r="U223" s="34" t="s">
        <v>383</v>
      </c>
      <c r="V223" s="35" t="s">
        <v>205</v>
      </c>
      <c r="W223" s="35" t="s">
        <v>161</v>
      </c>
      <c r="X223" s="34" t="s">
        <v>29</v>
      </c>
      <c r="Y223" s="77" t="e">
        <f>#REF!-H223</f>
        <v>#REF!</v>
      </c>
      <c r="Z223" s="78" t="e">
        <f>#REF!-J223</f>
        <v>#REF!</v>
      </c>
      <c r="AA223" s="79" t="e">
        <f>#REF!-L223</f>
        <v>#REF!</v>
      </c>
      <c r="AB223" s="78" t="e">
        <f>#REF!-N223</f>
        <v>#REF!</v>
      </c>
      <c r="AC223" s="77" t="e">
        <f>(#REF!+#REF!)-S223</f>
        <v>#REF!</v>
      </c>
      <c r="AD223" s="79" t="e">
        <f>AC223/(#REF!+#REF!)*100</f>
        <v>#REF!</v>
      </c>
      <c r="AG223" s="81"/>
      <c r="AH223" s="33" t="s">
        <v>34</v>
      </c>
    </row>
    <row r="224" spans="1:34" s="69" customFormat="1" x14ac:dyDescent="0.3">
      <c r="A224" s="101">
        <v>224</v>
      </c>
      <c r="B224" s="34" t="s">
        <v>26</v>
      </c>
      <c r="C224" s="34" t="s">
        <v>380</v>
      </c>
      <c r="D224" s="35" t="s">
        <v>268</v>
      </c>
      <c r="E224" s="35" t="s">
        <v>31</v>
      </c>
      <c r="F224" s="35" t="s">
        <v>30</v>
      </c>
      <c r="G224" s="115" t="s">
        <v>31</v>
      </c>
      <c r="H224" s="38">
        <f t="shared" si="12"/>
        <v>6374.19</v>
      </c>
      <c r="I224" s="116"/>
      <c r="J224" s="40">
        <v>5258.49</v>
      </c>
      <c r="K224" s="41">
        <f t="shared" si="15"/>
        <v>5258.49</v>
      </c>
      <c r="L224" s="42">
        <v>220.5</v>
      </c>
      <c r="M224" s="42"/>
      <c r="N224" s="40">
        <v>669.58</v>
      </c>
      <c r="O224" s="43">
        <f t="shared" si="16"/>
        <v>895.2</v>
      </c>
      <c r="P224" s="40">
        <v>623</v>
      </c>
      <c r="Q224" s="40">
        <v>67</v>
      </c>
      <c r="R224" s="40">
        <v>205.2</v>
      </c>
      <c r="S224" s="76">
        <f t="shared" si="14"/>
        <v>5478.99</v>
      </c>
      <c r="T224" s="35" t="s">
        <v>398</v>
      </c>
      <c r="U224" s="34" t="s">
        <v>383</v>
      </c>
      <c r="V224" s="35" t="s">
        <v>268</v>
      </c>
      <c r="W224" s="35" t="s">
        <v>31</v>
      </c>
      <c r="X224" s="34" t="s">
        <v>29</v>
      </c>
      <c r="Y224" s="77" t="e">
        <f>#REF!-H224</f>
        <v>#REF!</v>
      </c>
      <c r="Z224" s="78" t="e">
        <f>#REF!-J224</f>
        <v>#REF!</v>
      </c>
      <c r="AA224" s="79" t="e">
        <f>#REF!-L224</f>
        <v>#REF!</v>
      </c>
      <c r="AB224" s="78" t="e">
        <f>#REF!-N224</f>
        <v>#REF!</v>
      </c>
      <c r="AC224" s="77" t="e">
        <f>(#REF!+#REF!)-S224</f>
        <v>#REF!</v>
      </c>
      <c r="AD224" s="79" t="e">
        <f>AC224/(#REF!+#REF!)*100</f>
        <v>#REF!</v>
      </c>
      <c r="AG224" s="81"/>
      <c r="AH224" s="33" t="s">
        <v>34</v>
      </c>
    </row>
    <row r="225" spans="1:34" s="69" customFormat="1" x14ac:dyDescent="0.3">
      <c r="A225" s="75">
        <v>225</v>
      </c>
      <c r="B225" s="34" t="s">
        <v>26</v>
      </c>
      <c r="C225" s="34" t="s">
        <v>380</v>
      </c>
      <c r="D225" s="35" t="s">
        <v>113</v>
      </c>
      <c r="E225" s="35" t="s">
        <v>29</v>
      </c>
      <c r="F225" s="35" t="s">
        <v>30</v>
      </c>
      <c r="G225" s="115"/>
      <c r="H225" s="38">
        <f t="shared" si="12"/>
        <v>4492.0600000000004</v>
      </c>
      <c r="I225" s="116"/>
      <c r="J225" s="40">
        <v>3339.86</v>
      </c>
      <c r="K225" s="41">
        <f t="shared" si="15"/>
        <v>3339.86</v>
      </c>
      <c r="L225" s="42">
        <v>561.20000000000005</v>
      </c>
      <c r="M225" s="42"/>
      <c r="N225" s="40">
        <v>591</v>
      </c>
      <c r="O225" s="43">
        <f t="shared" si="16"/>
        <v>591</v>
      </c>
      <c r="P225" s="40">
        <v>484</v>
      </c>
      <c r="Q225" s="40">
        <v>107</v>
      </c>
      <c r="R225" s="40"/>
      <c r="S225" s="76">
        <f t="shared" si="14"/>
        <v>3901.0600000000004</v>
      </c>
      <c r="T225" s="35" t="s">
        <v>399</v>
      </c>
      <c r="U225" s="34" t="s">
        <v>383</v>
      </c>
      <c r="V225" s="35" t="s">
        <v>113</v>
      </c>
      <c r="W225" s="35" t="s">
        <v>29</v>
      </c>
      <c r="X225" s="34" t="s">
        <v>29</v>
      </c>
      <c r="Y225" s="77" t="e">
        <f>#REF!-H225</f>
        <v>#REF!</v>
      </c>
      <c r="Z225" s="78" t="e">
        <f>#REF!-J225</f>
        <v>#REF!</v>
      </c>
      <c r="AA225" s="79" t="e">
        <f>#REF!-L225</f>
        <v>#REF!</v>
      </c>
      <c r="AB225" s="78" t="e">
        <f>#REF!-N225</f>
        <v>#REF!</v>
      </c>
      <c r="AC225" s="77" t="e">
        <f>(#REF!+#REF!)-S225</f>
        <v>#REF!</v>
      </c>
      <c r="AD225" s="79" t="e">
        <f>AC225/(#REF!+#REF!)*100</f>
        <v>#REF!</v>
      </c>
      <c r="AG225" s="81"/>
      <c r="AH225" s="33" t="s">
        <v>34</v>
      </c>
    </row>
    <row r="226" spans="1:34" s="69" customFormat="1" x14ac:dyDescent="0.3">
      <c r="A226" s="75">
        <v>226</v>
      </c>
      <c r="B226" s="34" t="s">
        <v>26</v>
      </c>
      <c r="C226" s="34" t="s">
        <v>380</v>
      </c>
      <c r="D226" s="35" t="s">
        <v>113</v>
      </c>
      <c r="E226" s="35" t="s">
        <v>161</v>
      </c>
      <c r="F226" s="35" t="s">
        <v>238</v>
      </c>
      <c r="G226" s="115"/>
      <c r="H226" s="38">
        <f t="shared" si="12"/>
        <v>4685.2699999999995</v>
      </c>
      <c r="I226" s="116"/>
      <c r="J226" s="40">
        <v>4202.57</v>
      </c>
      <c r="K226" s="41">
        <f t="shared" si="15"/>
        <v>4202.57</v>
      </c>
      <c r="L226" s="42">
        <v>0</v>
      </c>
      <c r="M226" s="42"/>
      <c r="N226" s="40">
        <v>441</v>
      </c>
      <c r="O226" s="43">
        <f t="shared" si="16"/>
        <v>482.7</v>
      </c>
      <c r="P226" s="40">
        <v>441</v>
      </c>
      <c r="Q226" s="40">
        <v>41.7</v>
      </c>
      <c r="R226" s="40"/>
      <c r="S226" s="76">
        <f t="shared" si="14"/>
        <v>4202.57</v>
      </c>
      <c r="T226" s="35" t="s">
        <v>400</v>
      </c>
      <c r="U226" s="34" t="s">
        <v>383</v>
      </c>
      <c r="V226" s="35" t="s">
        <v>113</v>
      </c>
      <c r="W226" s="35" t="s">
        <v>161</v>
      </c>
      <c r="X226" s="34" t="s">
        <v>29</v>
      </c>
      <c r="Y226" s="77" t="e">
        <f>#REF!-H226</f>
        <v>#REF!</v>
      </c>
      <c r="Z226" s="78" t="e">
        <f>#REF!-J226</f>
        <v>#REF!</v>
      </c>
      <c r="AA226" s="79" t="e">
        <f>#REF!-L226</f>
        <v>#REF!</v>
      </c>
      <c r="AB226" s="78" t="e">
        <f>#REF!-N226</f>
        <v>#REF!</v>
      </c>
      <c r="AC226" s="77" t="e">
        <f>(#REF!+#REF!)-S226</f>
        <v>#REF!</v>
      </c>
      <c r="AD226" s="79" t="e">
        <f>AC226/(#REF!+#REF!)*100</f>
        <v>#REF!</v>
      </c>
      <c r="AG226" s="81"/>
      <c r="AH226" s="33" t="s">
        <v>34</v>
      </c>
    </row>
    <row r="227" spans="1:34" s="69" customFormat="1" x14ac:dyDescent="0.3">
      <c r="A227" s="101">
        <v>227</v>
      </c>
      <c r="B227" s="34" t="s">
        <v>26</v>
      </c>
      <c r="C227" s="34" t="s">
        <v>380</v>
      </c>
      <c r="D227" s="35" t="s">
        <v>116</v>
      </c>
      <c r="E227" s="35" t="s">
        <v>29</v>
      </c>
      <c r="F227" s="35" t="s">
        <v>30</v>
      </c>
      <c r="G227" s="115" t="s">
        <v>31</v>
      </c>
      <c r="H227" s="38">
        <f t="shared" si="12"/>
        <v>6402.06</v>
      </c>
      <c r="I227" s="116"/>
      <c r="J227" s="40">
        <v>1401.06</v>
      </c>
      <c r="K227" s="41">
        <f t="shared" si="15"/>
        <v>1401.06</v>
      </c>
      <c r="L227" s="42">
        <f>4575.3-50.7-5.3</f>
        <v>4519.3</v>
      </c>
      <c r="M227" s="42"/>
      <c r="N227" s="40">
        <v>191</v>
      </c>
      <c r="O227" s="43">
        <f t="shared" si="16"/>
        <v>481.7</v>
      </c>
      <c r="P227" s="40">
        <v>344.9</v>
      </c>
      <c r="Q227" s="40">
        <v>136.80000000000001</v>
      </c>
      <c r="R227" s="40"/>
      <c r="S227" s="76">
        <f t="shared" si="14"/>
        <v>5920.3600000000006</v>
      </c>
      <c r="T227" s="35" t="s">
        <v>401</v>
      </c>
      <c r="U227" s="34" t="s">
        <v>383</v>
      </c>
      <c r="V227" s="35" t="s">
        <v>402</v>
      </c>
      <c r="W227" s="35" t="s">
        <v>29</v>
      </c>
      <c r="X227" s="34" t="s">
        <v>29</v>
      </c>
      <c r="Y227" s="77" t="e">
        <f>#REF!-H227</f>
        <v>#REF!</v>
      </c>
      <c r="Z227" s="78" t="e">
        <f>#REF!-J227</f>
        <v>#REF!</v>
      </c>
      <c r="AA227" s="79" t="e">
        <f>#REF!-L227</f>
        <v>#REF!</v>
      </c>
      <c r="AB227" s="78" t="e">
        <f>#REF!-N227</f>
        <v>#REF!</v>
      </c>
      <c r="AC227" s="77" t="e">
        <f>(#REF!+#REF!)-S227</f>
        <v>#REF!</v>
      </c>
      <c r="AD227" s="79" t="e">
        <f>AC227/(#REF!+#REF!)*100</f>
        <v>#REF!</v>
      </c>
      <c r="AG227" s="81"/>
      <c r="AH227" s="33" t="s">
        <v>34</v>
      </c>
    </row>
    <row r="228" spans="1:34" s="69" customFormat="1" x14ac:dyDescent="0.3">
      <c r="A228" s="75">
        <v>228</v>
      </c>
      <c r="B228" s="34" t="s">
        <v>26</v>
      </c>
      <c r="C228" s="34" t="s">
        <v>380</v>
      </c>
      <c r="D228" s="35" t="s">
        <v>354</v>
      </c>
      <c r="E228" s="35" t="s">
        <v>29</v>
      </c>
      <c r="F228" s="35" t="s">
        <v>30</v>
      </c>
      <c r="G228" s="115"/>
      <c r="H228" s="38">
        <f t="shared" si="12"/>
        <v>5532.95</v>
      </c>
      <c r="I228" s="116"/>
      <c r="J228" s="40">
        <v>4520.25</v>
      </c>
      <c r="K228" s="41">
        <f t="shared" si="15"/>
        <v>4520.25</v>
      </c>
      <c r="L228" s="42">
        <v>395</v>
      </c>
      <c r="M228" s="42"/>
      <c r="N228" s="40">
        <v>617.70000000000005</v>
      </c>
      <c r="O228" s="43">
        <f t="shared" si="16"/>
        <v>617.70000000000005</v>
      </c>
      <c r="P228" s="40">
        <v>581</v>
      </c>
      <c r="Q228" s="40">
        <v>36.700000000000003</v>
      </c>
      <c r="R228" s="40"/>
      <c r="S228" s="76">
        <f t="shared" si="14"/>
        <v>4915.25</v>
      </c>
      <c r="T228" s="35" t="s">
        <v>403</v>
      </c>
      <c r="U228" s="34" t="s">
        <v>383</v>
      </c>
      <c r="V228" s="35" t="s">
        <v>354</v>
      </c>
      <c r="W228" s="35" t="s">
        <v>29</v>
      </c>
      <c r="X228" s="34" t="s">
        <v>29</v>
      </c>
      <c r="Y228" s="77" t="e">
        <f>#REF!-H228</f>
        <v>#REF!</v>
      </c>
      <c r="Z228" s="78" t="e">
        <f>#REF!-J228</f>
        <v>#REF!</v>
      </c>
      <c r="AA228" s="79" t="e">
        <f>#REF!-L228</f>
        <v>#REF!</v>
      </c>
      <c r="AB228" s="78" t="e">
        <f>#REF!-N228</f>
        <v>#REF!</v>
      </c>
      <c r="AC228" s="77" t="e">
        <f>(#REF!+#REF!)-S228</f>
        <v>#REF!</v>
      </c>
      <c r="AD228" s="79" t="e">
        <f>AC228/(#REF!+#REF!)*100</f>
        <v>#REF!</v>
      </c>
      <c r="AG228" s="81"/>
      <c r="AH228" s="33" t="s">
        <v>34</v>
      </c>
    </row>
    <row r="229" spans="1:34" s="69" customFormat="1" x14ac:dyDescent="0.3">
      <c r="A229" s="75">
        <v>229</v>
      </c>
      <c r="B229" s="34" t="s">
        <v>26</v>
      </c>
      <c r="C229" s="34" t="s">
        <v>380</v>
      </c>
      <c r="D229" s="35" t="s">
        <v>274</v>
      </c>
      <c r="E229" s="35" t="s">
        <v>29</v>
      </c>
      <c r="F229" s="35" t="s">
        <v>30</v>
      </c>
      <c r="G229" s="115"/>
      <c r="H229" s="38">
        <f t="shared" si="12"/>
        <v>3769.52</v>
      </c>
      <c r="I229" s="116"/>
      <c r="J229" s="40">
        <v>2746.96</v>
      </c>
      <c r="K229" s="41">
        <f t="shared" si="15"/>
        <v>2746.96</v>
      </c>
      <c r="L229" s="42">
        <v>707.46</v>
      </c>
      <c r="M229" s="42"/>
      <c r="N229" s="40">
        <v>315.10000000000002</v>
      </c>
      <c r="O229" s="43">
        <f t="shared" si="16"/>
        <v>315.10000000000002</v>
      </c>
      <c r="P229" s="40">
        <v>303</v>
      </c>
      <c r="Q229" s="40">
        <v>12.1</v>
      </c>
      <c r="R229" s="40"/>
      <c r="S229" s="76">
        <f t="shared" si="14"/>
        <v>3454.42</v>
      </c>
      <c r="T229" s="35" t="s">
        <v>404</v>
      </c>
      <c r="U229" s="34" t="s">
        <v>383</v>
      </c>
      <c r="V229" s="35" t="s">
        <v>274</v>
      </c>
      <c r="W229" s="35" t="s">
        <v>29</v>
      </c>
      <c r="X229" s="34" t="s">
        <v>29</v>
      </c>
      <c r="Y229" s="77" t="e">
        <f>#REF!-H229</f>
        <v>#REF!</v>
      </c>
      <c r="Z229" s="78" t="e">
        <f>#REF!-J229</f>
        <v>#REF!</v>
      </c>
      <c r="AA229" s="79" t="e">
        <f>#REF!-L229</f>
        <v>#REF!</v>
      </c>
      <c r="AB229" s="78" t="e">
        <f>#REF!-N229</f>
        <v>#REF!</v>
      </c>
      <c r="AC229" s="77" t="e">
        <f>(#REF!+#REF!)-S229</f>
        <v>#REF!</v>
      </c>
      <c r="AD229" s="79" t="e">
        <f>AC229/(#REF!+#REF!)*100</f>
        <v>#REF!</v>
      </c>
      <c r="AG229" s="81"/>
      <c r="AH229" s="33" t="s">
        <v>34</v>
      </c>
    </row>
    <row r="230" spans="1:34" s="69" customFormat="1" ht="21" x14ac:dyDescent="0.3">
      <c r="A230" s="234">
        <v>230</v>
      </c>
      <c r="B230" s="82" t="s">
        <v>26</v>
      </c>
      <c r="C230" s="82" t="s">
        <v>380</v>
      </c>
      <c r="D230" s="83" t="s">
        <v>118</v>
      </c>
      <c r="E230" s="83" t="s">
        <v>29</v>
      </c>
      <c r="F230" s="83" t="s">
        <v>30</v>
      </c>
      <c r="G230" s="118"/>
      <c r="H230" s="86">
        <f t="shared" si="12"/>
        <v>3825.6800000000003</v>
      </c>
      <c r="I230" s="119"/>
      <c r="J230" s="88">
        <v>2784.88</v>
      </c>
      <c r="K230" s="89">
        <f t="shared" si="15"/>
        <v>2784.88</v>
      </c>
      <c r="L230" s="90">
        <v>703.8</v>
      </c>
      <c r="M230" s="90"/>
      <c r="N230" s="88">
        <v>337</v>
      </c>
      <c r="O230" s="91">
        <f t="shared" si="16"/>
        <v>337</v>
      </c>
      <c r="P230" s="88">
        <v>337</v>
      </c>
      <c r="Q230" s="88"/>
      <c r="R230" s="88"/>
      <c r="S230" s="92">
        <f t="shared" si="14"/>
        <v>3488.6800000000003</v>
      </c>
      <c r="T230" s="93" t="s">
        <v>57</v>
      </c>
      <c r="U230" s="82" t="s">
        <v>383</v>
      </c>
      <c r="V230" s="83" t="s">
        <v>118</v>
      </c>
      <c r="W230" s="83" t="s">
        <v>29</v>
      </c>
      <c r="X230" s="82" t="s">
        <v>29</v>
      </c>
      <c r="Y230" s="94" t="e">
        <f>#REF!-H230</f>
        <v>#REF!</v>
      </c>
      <c r="Z230" s="95" t="e">
        <f>#REF!-J230</f>
        <v>#REF!</v>
      </c>
      <c r="AA230" s="96" t="e">
        <f>#REF!-L230</f>
        <v>#REF!</v>
      </c>
      <c r="AB230" s="95" t="e">
        <f>#REF!-N230</f>
        <v>#REF!</v>
      </c>
      <c r="AC230" s="94" t="e">
        <f>(#REF!+#REF!)-S230</f>
        <v>#REF!</v>
      </c>
      <c r="AD230" s="96" t="e">
        <f>AC230/(#REF!+#REF!)*100</f>
        <v>#REF!</v>
      </c>
      <c r="AE230" s="98"/>
      <c r="AF230" s="98"/>
      <c r="AG230" s="99"/>
      <c r="AH230" s="136" t="s">
        <v>114</v>
      </c>
    </row>
    <row r="231" spans="1:34" s="69" customFormat="1" ht="21" x14ac:dyDescent="0.3">
      <c r="A231" s="233">
        <v>231</v>
      </c>
      <c r="B231" s="82" t="s">
        <v>26</v>
      </c>
      <c r="C231" s="82" t="s">
        <v>380</v>
      </c>
      <c r="D231" s="83" t="s">
        <v>276</v>
      </c>
      <c r="E231" s="83" t="s">
        <v>29</v>
      </c>
      <c r="F231" s="83" t="s">
        <v>30</v>
      </c>
      <c r="G231" s="118"/>
      <c r="H231" s="86">
        <f t="shared" si="12"/>
        <v>2867.14</v>
      </c>
      <c r="I231" s="119"/>
      <c r="J231" s="88">
        <f>2569.56+0.08</f>
        <v>2569.64</v>
      </c>
      <c r="K231" s="89">
        <f t="shared" si="15"/>
        <v>2569.64</v>
      </c>
      <c r="L231" s="90">
        <v>0</v>
      </c>
      <c r="M231" s="90"/>
      <c r="N231" s="88">
        <v>281</v>
      </c>
      <c r="O231" s="91">
        <f t="shared" si="16"/>
        <v>297.5</v>
      </c>
      <c r="P231" s="88">
        <v>281</v>
      </c>
      <c r="Q231" s="88">
        <v>16.5</v>
      </c>
      <c r="R231" s="88"/>
      <c r="S231" s="92">
        <f t="shared" si="14"/>
        <v>2569.64</v>
      </c>
      <c r="T231" s="93" t="s">
        <v>57</v>
      </c>
      <c r="U231" s="82" t="s">
        <v>383</v>
      </c>
      <c r="V231" s="83" t="s">
        <v>276</v>
      </c>
      <c r="W231" s="83" t="s">
        <v>29</v>
      </c>
      <c r="X231" s="82" t="s">
        <v>29</v>
      </c>
      <c r="Y231" s="94" t="e">
        <f>#REF!-H231</f>
        <v>#REF!</v>
      </c>
      <c r="Z231" s="95" t="e">
        <f>#REF!-J231</f>
        <v>#REF!</v>
      </c>
      <c r="AA231" s="96" t="e">
        <f>#REF!-L231</f>
        <v>#REF!</v>
      </c>
      <c r="AB231" s="95" t="e">
        <f>#REF!-N231</f>
        <v>#REF!</v>
      </c>
      <c r="AC231" s="94" t="e">
        <f>(#REF!+#REF!)-S231</f>
        <v>#REF!</v>
      </c>
      <c r="AD231" s="96" t="e">
        <f>AC231/(#REF!+#REF!)*100</f>
        <v>#REF!</v>
      </c>
      <c r="AE231" s="98"/>
      <c r="AF231" s="98"/>
      <c r="AG231" s="99"/>
      <c r="AH231" s="136" t="s">
        <v>114</v>
      </c>
    </row>
    <row r="232" spans="1:34" s="69" customFormat="1" x14ac:dyDescent="0.3">
      <c r="A232" s="75">
        <v>232</v>
      </c>
      <c r="B232" s="34" t="s">
        <v>26</v>
      </c>
      <c r="C232" s="34" t="s">
        <v>380</v>
      </c>
      <c r="D232" s="35" t="s">
        <v>120</v>
      </c>
      <c r="E232" s="35" t="s">
        <v>29</v>
      </c>
      <c r="F232" s="35" t="s">
        <v>30</v>
      </c>
      <c r="G232" s="115"/>
      <c r="H232" s="38">
        <f t="shared" si="12"/>
        <v>2875.12</v>
      </c>
      <c r="I232" s="116"/>
      <c r="J232" s="40">
        <v>2401.12</v>
      </c>
      <c r="K232" s="41">
        <f t="shared" si="15"/>
        <v>2401.12</v>
      </c>
      <c r="L232" s="42">
        <v>147.69999999999999</v>
      </c>
      <c r="M232" s="42"/>
      <c r="N232" s="40">
        <v>326.2</v>
      </c>
      <c r="O232" s="43">
        <f t="shared" si="16"/>
        <v>326.3</v>
      </c>
      <c r="P232" s="40">
        <v>286</v>
      </c>
      <c r="Q232" s="40">
        <v>40.299999999999997</v>
      </c>
      <c r="R232" s="40"/>
      <c r="S232" s="76">
        <f t="shared" si="14"/>
        <v>2548.8199999999997</v>
      </c>
      <c r="T232" s="35" t="s">
        <v>405</v>
      </c>
      <c r="U232" s="34" t="s">
        <v>383</v>
      </c>
      <c r="V232" s="35" t="s">
        <v>120</v>
      </c>
      <c r="W232" s="35" t="s">
        <v>29</v>
      </c>
      <c r="X232" s="34" t="s">
        <v>29</v>
      </c>
      <c r="Y232" s="77" t="e">
        <f>#REF!-H232</f>
        <v>#REF!</v>
      </c>
      <c r="Z232" s="78" t="e">
        <f>#REF!-J232</f>
        <v>#REF!</v>
      </c>
      <c r="AA232" s="79" t="e">
        <f>#REF!-L232</f>
        <v>#REF!</v>
      </c>
      <c r="AB232" s="78" t="e">
        <f>#REF!-N232</f>
        <v>#REF!</v>
      </c>
      <c r="AC232" s="77" t="e">
        <f>(#REF!+#REF!)-S232</f>
        <v>#REF!</v>
      </c>
      <c r="AD232" s="79" t="e">
        <f>AC232/(#REF!+#REF!)*100</f>
        <v>#REF!</v>
      </c>
      <c r="AG232" s="81"/>
      <c r="AH232" s="33" t="s">
        <v>34</v>
      </c>
    </row>
    <row r="233" spans="1:34" s="69" customFormat="1" x14ac:dyDescent="0.3">
      <c r="A233" s="101">
        <v>233</v>
      </c>
      <c r="B233" s="34" t="s">
        <v>26</v>
      </c>
      <c r="C233" s="34" t="s">
        <v>380</v>
      </c>
      <c r="D233" s="35" t="s">
        <v>122</v>
      </c>
      <c r="E233" s="35" t="s">
        <v>29</v>
      </c>
      <c r="F233" s="35" t="s">
        <v>30</v>
      </c>
      <c r="G233" s="115"/>
      <c r="H233" s="38">
        <f t="shared" si="12"/>
        <v>1849.3999999999999</v>
      </c>
      <c r="I233" s="116"/>
      <c r="J233" s="40">
        <f>1601.8-28.23+28.23</f>
        <v>1601.8</v>
      </c>
      <c r="K233" s="41">
        <f t="shared" si="15"/>
        <v>1601.8</v>
      </c>
      <c r="L233" s="42">
        <v>0</v>
      </c>
      <c r="M233" s="42"/>
      <c r="N233" s="40">
        <v>245.61</v>
      </c>
      <c r="O233" s="43">
        <f t="shared" si="16"/>
        <v>247.6</v>
      </c>
      <c r="P233" s="40">
        <v>208</v>
      </c>
      <c r="Q233" s="40">
        <v>39.6</v>
      </c>
      <c r="R233" s="40"/>
      <c r="S233" s="76">
        <f t="shared" si="14"/>
        <v>1601.8</v>
      </c>
      <c r="T233" s="35" t="s">
        <v>406</v>
      </c>
      <c r="U233" s="34" t="s">
        <v>383</v>
      </c>
      <c r="V233" s="35" t="s">
        <v>122</v>
      </c>
      <c r="W233" s="35" t="s">
        <v>29</v>
      </c>
      <c r="X233" s="34" t="s">
        <v>29</v>
      </c>
      <c r="Y233" s="77" t="e">
        <f>#REF!-H233</f>
        <v>#REF!</v>
      </c>
      <c r="Z233" s="78" t="e">
        <f>#REF!-J233</f>
        <v>#REF!</v>
      </c>
      <c r="AA233" s="79" t="e">
        <f>#REF!-L233</f>
        <v>#REF!</v>
      </c>
      <c r="AB233" s="78" t="e">
        <f>#REF!-N233</f>
        <v>#REF!</v>
      </c>
      <c r="AC233" s="77" t="e">
        <f>(#REF!+#REF!)-S233</f>
        <v>#REF!</v>
      </c>
      <c r="AD233" s="79" t="e">
        <f>AC233/(#REF!+#REF!)*100</f>
        <v>#REF!</v>
      </c>
      <c r="AG233" s="81"/>
      <c r="AH233" s="33" t="s">
        <v>34</v>
      </c>
    </row>
    <row r="234" spans="1:34" s="69" customFormat="1" x14ac:dyDescent="0.3">
      <c r="A234" s="75">
        <v>234</v>
      </c>
      <c r="B234" s="34" t="s">
        <v>26</v>
      </c>
      <c r="C234" s="34" t="s">
        <v>380</v>
      </c>
      <c r="D234" s="35" t="s">
        <v>124</v>
      </c>
      <c r="E234" s="35" t="s">
        <v>29</v>
      </c>
      <c r="F234" s="35" t="s">
        <v>30</v>
      </c>
      <c r="G234" s="115"/>
      <c r="H234" s="38">
        <f t="shared" si="12"/>
        <v>2880.6899999999996</v>
      </c>
      <c r="I234" s="116"/>
      <c r="J234" s="40">
        <v>2555.4899999999998</v>
      </c>
      <c r="K234" s="41">
        <f t="shared" si="15"/>
        <v>2555.4899999999998</v>
      </c>
      <c r="L234" s="42">
        <v>0</v>
      </c>
      <c r="M234" s="42"/>
      <c r="N234" s="40">
        <v>279</v>
      </c>
      <c r="O234" s="43">
        <f t="shared" si="16"/>
        <v>325.2</v>
      </c>
      <c r="P234" s="40">
        <v>279</v>
      </c>
      <c r="Q234" s="40">
        <v>46.2</v>
      </c>
      <c r="R234" s="40"/>
      <c r="S234" s="76">
        <f t="shared" si="14"/>
        <v>2555.4899999999998</v>
      </c>
      <c r="T234" s="35" t="s">
        <v>407</v>
      </c>
      <c r="U234" s="34" t="s">
        <v>383</v>
      </c>
      <c r="V234" s="35" t="s">
        <v>124</v>
      </c>
      <c r="W234" s="35" t="s">
        <v>29</v>
      </c>
      <c r="X234" s="34" t="s">
        <v>29</v>
      </c>
      <c r="Y234" s="77" t="e">
        <f>#REF!-H234</f>
        <v>#REF!</v>
      </c>
      <c r="Z234" s="78" t="e">
        <f>#REF!-J234</f>
        <v>#REF!</v>
      </c>
      <c r="AA234" s="79" t="e">
        <f>#REF!-L234</f>
        <v>#REF!</v>
      </c>
      <c r="AB234" s="78" t="e">
        <f>#REF!-N234</f>
        <v>#REF!</v>
      </c>
      <c r="AC234" s="77" t="e">
        <f>(#REF!+#REF!)-S234</f>
        <v>#REF!</v>
      </c>
      <c r="AD234" s="79" t="e">
        <f>AC234/(#REF!+#REF!)*100</f>
        <v>#REF!</v>
      </c>
      <c r="AG234" s="81"/>
      <c r="AH234" s="33" t="s">
        <v>34</v>
      </c>
    </row>
    <row r="235" spans="1:34" s="69" customFormat="1" x14ac:dyDescent="0.3">
      <c r="A235" s="75">
        <v>235</v>
      </c>
      <c r="B235" s="34" t="s">
        <v>26</v>
      </c>
      <c r="C235" s="34" t="s">
        <v>380</v>
      </c>
      <c r="D235" s="35" t="s">
        <v>130</v>
      </c>
      <c r="E235" s="35" t="s">
        <v>29</v>
      </c>
      <c r="F235" s="35" t="s">
        <v>30</v>
      </c>
      <c r="G235" s="115"/>
      <c r="H235" s="38">
        <f t="shared" si="12"/>
        <v>6626.92</v>
      </c>
      <c r="I235" s="116"/>
      <c r="J235" s="40">
        <v>5494.22</v>
      </c>
      <c r="K235" s="41">
        <f t="shared" si="15"/>
        <v>5494.22</v>
      </c>
      <c r="L235" s="42">
        <v>236.2</v>
      </c>
      <c r="M235" s="42"/>
      <c r="N235" s="40">
        <v>734</v>
      </c>
      <c r="O235" s="43">
        <f t="shared" si="16"/>
        <v>896.5</v>
      </c>
      <c r="P235" s="40">
        <v>734</v>
      </c>
      <c r="Q235" s="40">
        <v>162.5</v>
      </c>
      <c r="R235" s="40"/>
      <c r="S235" s="76">
        <f t="shared" si="14"/>
        <v>5730.42</v>
      </c>
      <c r="T235" s="35" t="s">
        <v>408</v>
      </c>
      <c r="U235" s="34" t="s">
        <v>383</v>
      </c>
      <c r="V235" s="35" t="s">
        <v>130</v>
      </c>
      <c r="W235" s="35" t="s">
        <v>29</v>
      </c>
      <c r="X235" s="34" t="s">
        <v>29</v>
      </c>
      <c r="Y235" s="77" t="e">
        <f>#REF!-H235</f>
        <v>#REF!</v>
      </c>
      <c r="Z235" s="78" t="e">
        <f>#REF!-J235</f>
        <v>#REF!</v>
      </c>
      <c r="AA235" s="79" t="e">
        <f>#REF!-L235</f>
        <v>#REF!</v>
      </c>
      <c r="AB235" s="78" t="e">
        <f>#REF!-N235</f>
        <v>#REF!</v>
      </c>
      <c r="AC235" s="77" t="e">
        <f>(#REF!+#REF!)-S235</f>
        <v>#REF!</v>
      </c>
      <c r="AD235" s="79" t="e">
        <f>AC235/(#REF!+#REF!)*100</f>
        <v>#REF!</v>
      </c>
      <c r="AG235" s="81"/>
      <c r="AH235" s="33" t="s">
        <v>34</v>
      </c>
    </row>
    <row r="236" spans="1:34" s="69" customFormat="1" x14ac:dyDescent="0.3">
      <c r="A236" s="101">
        <v>236</v>
      </c>
      <c r="B236" s="34" t="s">
        <v>26</v>
      </c>
      <c r="C236" s="34" t="s">
        <v>380</v>
      </c>
      <c r="D236" s="35" t="s">
        <v>132</v>
      </c>
      <c r="E236" s="35" t="s">
        <v>29</v>
      </c>
      <c r="F236" s="35" t="s">
        <v>30</v>
      </c>
      <c r="G236" s="115"/>
      <c r="H236" s="38">
        <f t="shared" si="12"/>
        <v>2901.61</v>
      </c>
      <c r="I236" s="116"/>
      <c r="J236" s="40">
        <v>2561.5100000000002</v>
      </c>
      <c r="K236" s="41">
        <f t="shared" si="15"/>
        <v>2561.5100000000002</v>
      </c>
      <c r="L236" s="42">
        <v>0</v>
      </c>
      <c r="M236" s="42"/>
      <c r="N236" s="40">
        <v>340.05</v>
      </c>
      <c r="O236" s="43">
        <f t="shared" si="16"/>
        <v>340.1</v>
      </c>
      <c r="P236" s="40">
        <v>270</v>
      </c>
      <c r="Q236" s="40">
        <v>70.099999999999994</v>
      </c>
      <c r="R236" s="40"/>
      <c r="S236" s="76">
        <f t="shared" si="14"/>
        <v>2561.5100000000002</v>
      </c>
      <c r="T236" s="35" t="s">
        <v>409</v>
      </c>
      <c r="U236" s="34" t="s">
        <v>383</v>
      </c>
      <c r="V236" s="35" t="s">
        <v>132</v>
      </c>
      <c r="W236" s="35" t="s">
        <v>29</v>
      </c>
      <c r="X236" s="34" t="s">
        <v>29</v>
      </c>
      <c r="Y236" s="77" t="e">
        <f>#REF!-H236</f>
        <v>#REF!</v>
      </c>
      <c r="Z236" s="78" t="e">
        <f>#REF!-J236</f>
        <v>#REF!</v>
      </c>
      <c r="AA236" s="79" t="e">
        <f>#REF!-L236</f>
        <v>#REF!</v>
      </c>
      <c r="AB236" s="78" t="e">
        <f>#REF!-N236</f>
        <v>#REF!</v>
      </c>
      <c r="AC236" s="77" t="e">
        <f>(#REF!+#REF!)-S236</f>
        <v>#REF!</v>
      </c>
      <c r="AD236" s="79" t="e">
        <f>AC236/(#REF!+#REF!)*100</f>
        <v>#REF!</v>
      </c>
      <c r="AG236" s="81"/>
      <c r="AH236" s="33" t="s">
        <v>34</v>
      </c>
    </row>
    <row r="237" spans="1:34" s="69" customFormat="1" x14ac:dyDescent="0.3">
      <c r="A237" s="75">
        <v>237</v>
      </c>
      <c r="B237" s="34" t="s">
        <v>26</v>
      </c>
      <c r="C237" s="34" t="s">
        <v>410</v>
      </c>
      <c r="D237" s="35" t="s">
        <v>161</v>
      </c>
      <c r="E237" s="35" t="s">
        <v>29</v>
      </c>
      <c r="F237" s="35" t="s">
        <v>43</v>
      </c>
      <c r="G237" s="115" t="s">
        <v>31</v>
      </c>
      <c r="H237" s="38">
        <f t="shared" si="12"/>
        <v>6729.67</v>
      </c>
      <c r="I237" s="116"/>
      <c r="J237" s="40">
        <v>5141.57</v>
      </c>
      <c r="K237" s="41">
        <f t="shared" si="15"/>
        <v>5141.57</v>
      </c>
      <c r="L237" s="42">
        <v>407.7</v>
      </c>
      <c r="M237" s="42"/>
      <c r="N237" s="40">
        <v>1180.4000000000001</v>
      </c>
      <c r="O237" s="43">
        <f t="shared" si="16"/>
        <v>1180.4000000000001</v>
      </c>
      <c r="P237" s="40">
        <v>1155</v>
      </c>
      <c r="Q237" s="40">
        <v>25.4</v>
      </c>
      <c r="R237" s="40"/>
      <c r="S237" s="76">
        <f t="shared" si="14"/>
        <v>5549.2699999999995</v>
      </c>
      <c r="T237" s="35" t="s">
        <v>411</v>
      </c>
      <c r="U237" s="34" t="s">
        <v>412</v>
      </c>
      <c r="V237" s="35" t="s">
        <v>161</v>
      </c>
      <c r="W237" s="35" t="s">
        <v>29</v>
      </c>
      <c r="X237" s="34" t="s">
        <v>29</v>
      </c>
      <c r="Y237" s="77" t="e">
        <f>#REF!-H237</f>
        <v>#REF!</v>
      </c>
      <c r="Z237" s="78" t="e">
        <f>#REF!-J237</f>
        <v>#REF!</v>
      </c>
      <c r="AA237" s="79" t="e">
        <f>#REF!-L237</f>
        <v>#REF!</v>
      </c>
      <c r="AB237" s="78" t="e">
        <f>#REF!-N237</f>
        <v>#REF!</v>
      </c>
      <c r="AC237" s="77" t="e">
        <f>(#REF!+#REF!)-S237</f>
        <v>#REF!</v>
      </c>
      <c r="AD237" s="79" t="e">
        <f>AC237/(#REF!+#REF!)*100</f>
        <v>#REF!</v>
      </c>
      <c r="AG237" s="81"/>
      <c r="AH237" s="33" t="s">
        <v>34</v>
      </c>
    </row>
    <row r="238" spans="1:34" s="69" customFormat="1" x14ac:dyDescent="0.3">
      <c r="A238" s="75">
        <v>238</v>
      </c>
      <c r="B238" s="121" t="s">
        <v>413</v>
      </c>
      <c r="C238" s="121" t="s">
        <v>414</v>
      </c>
      <c r="D238" s="122" t="s">
        <v>198</v>
      </c>
      <c r="E238" s="122" t="s">
        <v>29</v>
      </c>
      <c r="F238" s="122" t="s">
        <v>30</v>
      </c>
      <c r="G238" s="123" t="s">
        <v>31</v>
      </c>
      <c r="H238" s="124">
        <f t="shared" si="12"/>
        <v>5182.3900000000003</v>
      </c>
      <c r="I238" s="125"/>
      <c r="J238" s="126">
        <f>4627.06+16.33</f>
        <v>4643.3900000000003</v>
      </c>
      <c r="K238" s="127">
        <f t="shared" si="15"/>
        <v>4643.3900000000003</v>
      </c>
      <c r="L238" s="128">
        <v>0</v>
      </c>
      <c r="M238" s="128"/>
      <c r="N238" s="126">
        <v>692.3</v>
      </c>
      <c r="O238" s="129">
        <f t="shared" si="16"/>
        <v>539</v>
      </c>
      <c r="P238" s="126">
        <v>539</v>
      </c>
      <c r="Q238" s="126">
        <v>0</v>
      </c>
      <c r="R238" s="126"/>
      <c r="S238" s="130">
        <f t="shared" si="14"/>
        <v>4643.3900000000003</v>
      </c>
      <c r="T238" s="122" t="s">
        <v>415</v>
      </c>
      <c r="U238" s="121" t="s">
        <v>416</v>
      </c>
      <c r="V238" s="122" t="s">
        <v>198</v>
      </c>
      <c r="W238" s="122" t="s">
        <v>29</v>
      </c>
      <c r="X238" s="121" t="s">
        <v>29</v>
      </c>
      <c r="Y238" s="131" t="e">
        <f>#REF!-H238</f>
        <v>#REF!</v>
      </c>
      <c r="Z238" s="132" t="e">
        <f>#REF!-J238</f>
        <v>#REF!</v>
      </c>
      <c r="AA238" s="133" t="e">
        <f>#REF!-L238</f>
        <v>#REF!</v>
      </c>
      <c r="AB238" s="132" t="e">
        <f>#REF!-N238</f>
        <v>#REF!</v>
      </c>
      <c r="AC238" s="131" t="e">
        <f>(#REF!+#REF!)-S238</f>
        <v>#REF!</v>
      </c>
      <c r="AD238" s="133" t="e">
        <f>AC238/(#REF!+#REF!)*100</f>
        <v>#REF!</v>
      </c>
      <c r="AE238" s="134"/>
      <c r="AF238" s="134"/>
      <c r="AG238" s="135"/>
      <c r="AH238" s="68" t="s">
        <v>39</v>
      </c>
    </row>
    <row r="239" spans="1:34" s="69" customFormat="1" x14ac:dyDescent="0.3">
      <c r="A239" s="101">
        <v>239</v>
      </c>
      <c r="B239" s="34" t="s">
        <v>26</v>
      </c>
      <c r="C239" s="34" t="s">
        <v>417</v>
      </c>
      <c r="D239" s="35" t="s">
        <v>418</v>
      </c>
      <c r="E239" s="35" t="s">
        <v>419</v>
      </c>
      <c r="F239" s="35" t="s">
        <v>30</v>
      </c>
      <c r="G239" s="115" t="s">
        <v>31</v>
      </c>
      <c r="H239" s="38">
        <f t="shared" si="12"/>
        <v>4536.83</v>
      </c>
      <c r="I239" s="116"/>
      <c r="J239" s="40">
        <v>3036.63</v>
      </c>
      <c r="K239" s="41">
        <f t="shared" si="15"/>
        <v>3036.63</v>
      </c>
      <c r="L239" s="42">
        <f>827.2+217.2</f>
        <v>1044.4000000000001</v>
      </c>
      <c r="M239" s="42"/>
      <c r="N239" s="40">
        <v>483.77</v>
      </c>
      <c r="O239" s="43">
        <f t="shared" si="16"/>
        <v>455.8</v>
      </c>
      <c r="P239" s="40">
        <v>407</v>
      </c>
      <c r="Q239" s="40">
        <v>12.2</v>
      </c>
      <c r="R239" s="40">
        <v>36.6</v>
      </c>
      <c r="S239" s="76">
        <f t="shared" si="14"/>
        <v>4081.03</v>
      </c>
      <c r="T239" s="35" t="s">
        <v>420</v>
      </c>
      <c r="U239" s="34" t="s">
        <v>421</v>
      </c>
      <c r="V239" s="35" t="s">
        <v>418</v>
      </c>
      <c r="W239" s="35" t="s">
        <v>29</v>
      </c>
      <c r="X239" s="34" t="s">
        <v>29</v>
      </c>
      <c r="Y239" s="77" t="e">
        <f>#REF!-H239</f>
        <v>#REF!</v>
      </c>
      <c r="Z239" s="78" t="e">
        <f>#REF!-J239</f>
        <v>#REF!</v>
      </c>
      <c r="AA239" s="79" t="e">
        <f>#REF!-L239</f>
        <v>#REF!</v>
      </c>
      <c r="AB239" s="78" t="e">
        <f>#REF!-N239</f>
        <v>#REF!</v>
      </c>
      <c r="AC239" s="77" t="e">
        <f>(#REF!+#REF!)-S239</f>
        <v>#REF!</v>
      </c>
      <c r="AD239" s="79" t="e">
        <f>AC239/(#REF!+#REF!)*100</f>
        <v>#REF!</v>
      </c>
      <c r="AG239" s="81"/>
      <c r="AH239" s="33" t="s">
        <v>34</v>
      </c>
    </row>
    <row r="240" spans="1:34" s="69" customFormat="1" x14ac:dyDescent="0.3">
      <c r="A240" s="75">
        <v>240</v>
      </c>
      <c r="B240" s="34" t="s">
        <v>422</v>
      </c>
      <c r="C240" s="34" t="s">
        <v>423</v>
      </c>
      <c r="D240" s="35" t="s">
        <v>92</v>
      </c>
      <c r="E240" s="35" t="s">
        <v>29</v>
      </c>
      <c r="F240" s="35" t="s">
        <v>30</v>
      </c>
      <c r="G240" s="115"/>
      <c r="H240" s="38">
        <f t="shared" si="12"/>
        <v>1821.45</v>
      </c>
      <c r="I240" s="116">
        <v>0</v>
      </c>
      <c r="J240" s="40">
        <f>1540.96-18.02+18.02</f>
        <v>1540.96</v>
      </c>
      <c r="K240" s="41">
        <f t="shared" si="15"/>
        <v>1540.96</v>
      </c>
      <c r="L240" s="42">
        <v>64.5</v>
      </c>
      <c r="M240" s="42"/>
      <c r="N240" s="40">
        <v>215.99</v>
      </c>
      <c r="O240" s="43">
        <f t="shared" si="16"/>
        <v>215.99</v>
      </c>
      <c r="P240" s="40">
        <f>290*AE240</f>
        <v>215.99</v>
      </c>
      <c r="Q240" s="40"/>
      <c r="R240" s="40"/>
      <c r="S240" s="76">
        <f t="shared" si="14"/>
        <v>1605.46</v>
      </c>
      <c r="T240" s="35" t="s">
        <v>424</v>
      </c>
      <c r="U240" s="34" t="s">
        <v>425</v>
      </c>
      <c r="V240" s="35" t="s">
        <v>92</v>
      </c>
      <c r="W240" s="35" t="s">
        <v>29</v>
      </c>
      <c r="X240" s="34" t="s">
        <v>29</v>
      </c>
      <c r="Y240" s="77" t="e">
        <f>#REF!-H240</f>
        <v>#REF!</v>
      </c>
      <c r="Z240" s="78" t="e">
        <f>#REF!-J240</f>
        <v>#REF!</v>
      </c>
      <c r="AA240" s="79" t="e">
        <f>#REF!-L240</f>
        <v>#REF!</v>
      </c>
      <c r="AB240" s="78" t="e">
        <f>#REF!-N240</f>
        <v>#REF!</v>
      </c>
      <c r="AC240" s="77" t="e">
        <f>(#REF!+#REF!)-S240</f>
        <v>#REF!</v>
      </c>
      <c r="AD240" s="79" t="e">
        <f>AC240/(#REF!+#REF!)*100</f>
        <v>#REF!</v>
      </c>
      <c r="AE240" s="69">
        <f>N240/290</f>
        <v>0.74479310344827587</v>
      </c>
      <c r="AF240" s="69">
        <v>290</v>
      </c>
      <c r="AG240" s="81"/>
      <c r="AH240" s="33" t="s">
        <v>34</v>
      </c>
    </row>
    <row r="241" spans="1:34" s="69" customFormat="1" x14ac:dyDescent="0.3">
      <c r="A241" s="75">
        <v>241</v>
      </c>
      <c r="B241" s="34" t="s">
        <v>422</v>
      </c>
      <c r="C241" s="34" t="s">
        <v>423</v>
      </c>
      <c r="D241" s="35" t="s">
        <v>92</v>
      </c>
      <c r="E241" s="35" t="s">
        <v>29</v>
      </c>
      <c r="F241" s="35" t="s">
        <v>30</v>
      </c>
      <c r="G241" s="115"/>
      <c r="H241" s="38">
        <f t="shared" si="12"/>
        <v>694.03</v>
      </c>
      <c r="I241" s="116"/>
      <c r="J241" s="40">
        <v>528.12</v>
      </c>
      <c r="K241" s="41">
        <f t="shared" si="15"/>
        <v>528.12</v>
      </c>
      <c r="L241" s="42">
        <v>91.9</v>
      </c>
      <c r="M241" s="42"/>
      <c r="N241" s="40">
        <v>74.010000000000005</v>
      </c>
      <c r="O241" s="43">
        <f t="shared" si="16"/>
        <v>74.010000000000019</v>
      </c>
      <c r="P241" s="40">
        <f>290*AE241</f>
        <v>74.010000000000019</v>
      </c>
      <c r="Q241" s="40"/>
      <c r="R241" s="40"/>
      <c r="S241" s="76">
        <f t="shared" si="14"/>
        <v>620.02</v>
      </c>
      <c r="T241" s="35" t="s">
        <v>426</v>
      </c>
      <c r="U241" s="34" t="s">
        <v>425</v>
      </c>
      <c r="V241" s="35" t="s">
        <v>427</v>
      </c>
      <c r="W241" s="35" t="s">
        <v>170</v>
      </c>
      <c r="X241" s="34" t="s">
        <v>29</v>
      </c>
      <c r="Y241" s="77" t="e">
        <f>#REF!-H241</f>
        <v>#REF!</v>
      </c>
      <c r="Z241" s="78" t="e">
        <f>#REF!-J241</f>
        <v>#REF!</v>
      </c>
      <c r="AA241" s="79" t="e">
        <f>#REF!-L241</f>
        <v>#REF!</v>
      </c>
      <c r="AB241" s="78" t="e">
        <f>#REF!-N241</f>
        <v>#REF!</v>
      </c>
      <c r="AC241" s="77" t="e">
        <f>(#REF!+#REF!)-S241</f>
        <v>#REF!</v>
      </c>
      <c r="AD241" s="79" t="e">
        <f>AC241/(#REF!+#REF!)*100</f>
        <v>#REF!</v>
      </c>
      <c r="AE241" s="69">
        <f>N241/290</f>
        <v>0.25520689655172418</v>
      </c>
      <c r="AG241" s="81"/>
      <c r="AH241" s="33" t="s">
        <v>34</v>
      </c>
    </row>
    <row r="242" spans="1:34" s="69" customFormat="1" x14ac:dyDescent="0.3">
      <c r="A242" s="101">
        <v>242</v>
      </c>
      <c r="B242" s="34" t="s">
        <v>422</v>
      </c>
      <c r="C242" s="34" t="s">
        <v>428</v>
      </c>
      <c r="D242" s="35" t="s">
        <v>80</v>
      </c>
      <c r="E242" s="35" t="s">
        <v>29</v>
      </c>
      <c r="F242" s="35" t="s">
        <v>30</v>
      </c>
      <c r="G242" s="115"/>
      <c r="H242" s="38">
        <f t="shared" si="12"/>
        <v>1494.7600000000002</v>
      </c>
      <c r="I242" s="116"/>
      <c r="J242" s="40">
        <v>939.96</v>
      </c>
      <c r="K242" s="41">
        <f t="shared" si="15"/>
        <v>939.96</v>
      </c>
      <c r="L242" s="42">
        <v>371.4</v>
      </c>
      <c r="M242" s="42"/>
      <c r="N242" s="40">
        <v>167</v>
      </c>
      <c r="O242" s="43">
        <f t="shared" si="16"/>
        <v>183.4</v>
      </c>
      <c r="P242" s="40">
        <v>183.4</v>
      </c>
      <c r="Q242" s="40"/>
      <c r="R242" s="40"/>
      <c r="S242" s="76">
        <f t="shared" si="14"/>
        <v>1311.3600000000001</v>
      </c>
      <c r="T242" s="35" t="s">
        <v>429</v>
      </c>
      <c r="U242" s="34" t="s">
        <v>430</v>
      </c>
      <c r="V242" s="35" t="s">
        <v>80</v>
      </c>
      <c r="W242" s="35" t="s">
        <v>29</v>
      </c>
      <c r="X242" s="34" t="s">
        <v>29</v>
      </c>
      <c r="Y242" s="77" t="e">
        <f>#REF!-H242</f>
        <v>#REF!</v>
      </c>
      <c r="Z242" s="78" t="e">
        <f>#REF!-J242</f>
        <v>#REF!</v>
      </c>
      <c r="AA242" s="79" t="e">
        <f>#REF!-L242</f>
        <v>#REF!</v>
      </c>
      <c r="AB242" s="78" t="e">
        <f>#REF!-N242</f>
        <v>#REF!</v>
      </c>
      <c r="AC242" s="77" t="e">
        <f>(#REF!+#REF!)-S242</f>
        <v>#REF!</v>
      </c>
      <c r="AD242" s="79" t="e">
        <f>AC242/(#REF!+#REF!)*100</f>
        <v>#REF!</v>
      </c>
      <c r="AG242" s="81"/>
      <c r="AH242" s="33" t="s">
        <v>34</v>
      </c>
    </row>
    <row r="243" spans="1:34" s="69" customFormat="1" x14ac:dyDescent="0.3">
      <c r="A243" s="75">
        <v>243</v>
      </c>
      <c r="B243" s="34" t="s">
        <v>26</v>
      </c>
      <c r="C243" s="34" t="s">
        <v>428</v>
      </c>
      <c r="D243" s="35" t="s">
        <v>195</v>
      </c>
      <c r="E243" s="35" t="s">
        <v>29</v>
      </c>
      <c r="F243" s="35" t="s">
        <v>30</v>
      </c>
      <c r="G243" s="115" t="s">
        <v>31</v>
      </c>
      <c r="H243" s="38">
        <f t="shared" si="12"/>
        <v>7059.68</v>
      </c>
      <c r="I243" s="116">
        <v>0</v>
      </c>
      <c r="J243" s="40">
        <f>5543.77+0.02-0.01</f>
        <v>5543.7800000000007</v>
      </c>
      <c r="K243" s="41">
        <f t="shared" si="15"/>
        <v>5543.7800000000007</v>
      </c>
      <c r="L243" s="42">
        <v>317.39999999999998</v>
      </c>
      <c r="M243" s="42"/>
      <c r="N243" s="42">
        <v>1411.8</v>
      </c>
      <c r="O243" s="43">
        <f t="shared" si="16"/>
        <v>1198.5</v>
      </c>
      <c r="P243" s="42">
        <v>951.7</v>
      </c>
      <c r="Q243" s="42">
        <v>13</v>
      </c>
      <c r="R243" s="42">
        <v>233.8</v>
      </c>
      <c r="S243" s="76">
        <f t="shared" si="14"/>
        <v>5861.18</v>
      </c>
      <c r="T243" s="35" t="s">
        <v>431</v>
      </c>
      <c r="U243" s="34" t="s">
        <v>430</v>
      </c>
      <c r="V243" s="35" t="s">
        <v>195</v>
      </c>
      <c r="W243" s="35" t="s">
        <v>29</v>
      </c>
      <c r="X243" s="34" t="s">
        <v>29</v>
      </c>
      <c r="Y243" s="77" t="e">
        <f>#REF!-H243</f>
        <v>#REF!</v>
      </c>
      <c r="Z243" s="78" t="e">
        <f>#REF!-J243</f>
        <v>#REF!</v>
      </c>
      <c r="AA243" s="79" t="e">
        <f>#REF!-L243</f>
        <v>#REF!</v>
      </c>
      <c r="AB243" s="78" t="e">
        <f>#REF!-N243</f>
        <v>#REF!</v>
      </c>
      <c r="AC243" s="77" t="e">
        <f>(#REF!+#REF!)-S243</f>
        <v>#REF!</v>
      </c>
      <c r="AD243" s="79" t="e">
        <f>AC243/(#REF!+#REF!)*100</f>
        <v>#REF!</v>
      </c>
      <c r="AG243" s="81"/>
      <c r="AH243" s="33" t="s">
        <v>34</v>
      </c>
    </row>
    <row r="244" spans="1:34" s="69" customFormat="1" x14ac:dyDescent="0.3">
      <c r="A244" s="75">
        <v>244</v>
      </c>
      <c r="B244" s="34" t="s">
        <v>422</v>
      </c>
      <c r="C244" s="34" t="s">
        <v>428</v>
      </c>
      <c r="D244" s="35" t="s">
        <v>195</v>
      </c>
      <c r="E244" s="35" t="s">
        <v>29</v>
      </c>
      <c r="F244" s="35" t="s">
        <v>43</v>
      </c>
      <c r="G244" s="115"/>
      <c r="H244" s="38">
        <f t="shared" si="12"/>
        <v>2339.9300000000003</v>
      </c>
      <c r="I244" s="116"/>
      <c r="J244" s="40">
        <v>1923.53</v>
      </c>
      <c r="K244" s="41">
        <f t="shared" si="15"/>
        <v>1923.53</v>
      </c>
      <c r="L244" s="42">
        <v>72.400000000000006</v>
      </c>
      <c r="M244" s="42"/>
      <c r="N244" s="42">
        <v>344</v>
      </c>
      <c r="O244" s="43">
        <f t="shared" si="16"/>
        <v>344</v>
      </c>
      <c r="P244" s="42">
        <v>344</v>
      </c>
      <c r="Q244" s="42"/>
      <c r="R244" s="42"/>
      <c r="S244" s="76">
        <f t="shared" si="14"/>
        <v>1995.93</v>
      </c>
      <c r="T244" s="35" t="s">
        <v>432</v>
      </c>
      <c r="U244" s="34" t="s">
        <v>430</v>
      </c>
      <c r="V244" s="35" t="s">
        <v>195</v>
      </c>
      <c r="W244" s="35" t="s">
        <v>29</v>
      </c>
      <c r="X244" s="34" t="s">
        <v>29</v>
      </c>
      <c r="Y244" s="77" t="e">
        <f>#REF!-H244</f>
        <v>#REF!</v>
      </c>
      <c r="Z244" s="78" t="e">
        <f>#REF!-J244</f>
        <v>#REF!</v>
      </c>
      <c r="AA244" s="79" t="e">
        <f>#REF!-L244</f>
        <v>#REF!</v>
      </c>
      <c r="AB244" s="78" t="e">
        <f>#REF!-N244</f>
        <v>#REF!</v>
      </c>
      <c r="AC244" s="77" t="e">
        <f>(#REF!+#REF!)-S244</f>
        <v>#REF!</v>
      </c>
      <c r="AD244" s="79" t="e">
        <f>AC244/(#REF!+#REF!)*100</f>
        <v>#REF!</v>
      </c>
      <c r="AG244" s="81"/>
      <c r="AH244" s="33" t="s">
        <v>34</v>
      </c>
    </row>
    <row r="245" spans="1:34" s="69" customFormat="1" x14ac:dyDescent="0.3">
      <c r="A245" s="101">
        <v>245</v>
      </c>
      <c r="B245" s="34" t="s">
        <v>26</v>
      </c>
      <c r="C245" s="34" t="s">
        <v>433</v>
      </c>
      <c r="D245" s="35" t="s">
        <v>354</v>
      </c>
      <c r="E245" s="35" t="s">
        <v>29</v>
      </c>
      <c r="F245" s="35" t="s">
        <v>30</v>
      </c>
      <c r="G245" s="115"/>
      <c r="H245" s="105">
        <f t="shared" si="12"/>
        <v>4206.5</v>
      </c>
      <c r="I245" s="116">
        <v>29.43</v>
      </c>
      <c r="J245" s="40">
        <v>3501.77</v>
      </c>
      <c r="K245" s="41">
        <f t="shared" si="15"/>
        <v>3531.2</v>
      </c>
      <c r="L245" s="106">
        <f>81.9+67.7+36.3</f>
        <v>185.90000000000003</v>
      </c>
      <c r="M245" s="106">
        <f>67.7+36.3</f>
        <v>104</v>
      </c>
      <c r="N245" s="40">
        <v>481.02</v>
      </c>
      <c r="O245" s="43">
        <f t="shared" si="16"/>
        <v>489.4</v>
      </c>
      <c r="P245" s="40">
        <v>377</v>
      </c>
      <c r="Q245" s="40">
        <v>9</v>
      </c>
      <c r="R245" s="40">
        <v>103.4</v>
      </c>
      <c r="S245" s="76">
        <f t="shared" si="14"/>
        <v>3717.1</v>
      </c>
      <c r="T245" s="35" t="s">
        <v>434</v>
      </c>
      <c r="U245" s="34" t="s">
        <v>435</v>
      </c>
      <c r="V245" s="35" t="s">
        <v>354</v>
      </c>
      <c r="W245" s="35" t="s">
        <v>29</v>
      </c>
      <c r="X245" s="34" t="s">
        <v>29</v>
      </c>
      <c r="Y245" s="77" t="e">
        <f>#REF!-H245</f>
        <v>#REF!</v>
      </c>
      <c r="Z245" s="78" t="e">
        <f>#REF!-J245</f>
        <v>#REF!</v>
      </c>
      <c r="AA245" s="79" t="e">
        <f>#REF!-L245</f>
        <v>#REF!</v>
      </c>
      <c r="AB245" s="78" t="e">
        <f>#REF!-N245</f>
        <v>#REF!</v>
      </c>
      <c r="AC245" s="77" t="e">
        <f>(#REF!+#REF!)-S245</f>
        <v>#REF!</v>
      </c>
      <c r="AD245" s="79" t="e">
        <f>AC245/(#REF!+#REF!)*100</f>
        <v>#REF!</v>
      </c>
      <c r="AG245" s="81"/>
      <c r="AH245" s="33" t="s">
        <v>34</v>
      </c>
    </row>
    <row r="246" spans="1:34" s="69" customFormat="1" x14ac:dyDescent="0.3">
      <c r="A246" s="75">
        <v>246</v>
      </c>
      <c r="B246" s="34" t="s">
        <v>26</v>
      </c>
      <c r="C246" s="137" t="s">
        <v>428</v>
      </c>
      <c r="D246" s="138" t="s">
        <v>105</v>
      </c>
      <c r="E246" s="138" t="s">
        <v>29</v>
      </c>
      <c r="F246" s="138" t="s">
        <v>30</v>
      </c>
      <c r="G246" s="139" t="s">
        <v>31</v>
      </c>
      <c r="H246" s="140">
        <f t="shared" si="12"/>
        <v>845.61</v>
      </c>
      <c r="I246" s="141"/>
      <c r="J246" s="142">
        <v>685.71</v>
      </c>
      <c r="K246" s="41">
        <f t="shared" si="15"/>
        <v>685.71</v>
      </c>
      <c r="L246" s="143">
        <v>84.9</v>
      </c>
      <c r="M246" s="143"/>
      <c r="N246" s="142">
        <v>74.540000000000006</v>
      </c>
      <c r="O246" s="144">
        <f t="shared" si="16"/>
        <v>75</v>
      </c>
      <c r="P246" s="142">
        <v>75</v>
      </c>
      <c r="Q246" s="142">
        <v>0</v>
      </c>
      <c r="R246" s="142"/>
      <c r="S246" s="145">
        <f t="shared" si="14"/>
        <v>770.61</v>
      </c>
      <c r="T246" s="35" t="s">
        <v>436</v>
      </c>
      <c r="U246" s="146"/>
      <c r="V246" s="147"/>
      <c r="W246" s="147"/>
      <c r="X246" s="146"/>
      <c r="Y246" s="146"/>
      <c r="Z246" s="146"/>
      <c r="AA246" s="146"/>
      <c r="AB246" s="146"/>
      <c r="AC246" s="146"/>
      <c r="AD246" s="148"/>
      <c r="AG246" s="81"/>
      <c r="AH246" s="33" t="s">
        <v>34</v>
      </c>
    </row>
    <row r="247" spans="1:34" s="69" customFormat="1" x14ac:dyDescent="0.3">
      <c r="A247" s="75">
        <v>247</v>
      </c>
      <c r="B247" s="34" t="s">
        <v>26</v>
      </c>
      <c r="C247" s="34" t="s">
        <v>437</v>
      </c>
      <c r="D247" s="35" t="s">
        <v>109</v>
      </c>
      <c r="E247" s="35"/>
      <c r="F247" s="35" t="s">
        <v>30</v>
      </c>
      <c r="G247" s="149"/>
      <c r="H247" s="150">
        <f t="shared" si="12"/>
        <v>1493</v>
      </c>
      <c r="I247" s="151"/>
      <c r="J247" s="40">
        <v>1187.4000000000001</v>
      </c>
      <c r="K247" s="41">
        <f t="shared" si="15"/>
        <v>1187.4000000000001</v>
      </c>
      <c r="L247" s="42">
        <v>132.6</v>
      </c>
      <c r="M247" s="42"/>
      <c r="N247" s="40"/>
      <c r="O247" s="41">
        <f t="shared" si="16"/>
        <v>173</v>
      </c>
      <c r="P247" s="40">
        <v>173</v>
      </c>
      <c r="Q247" s="40"/>
      <c r="R247" s="40"/>
      <c r="S247" s="76">
        <f t="shared" si="14"/>
        <v>1320</v>
      </c>
      <c r="T247" s="35" t="s">
        <v>438</v>
      </c>
      <c r="V247" s="152"/>
      <c r="W247" s="152"/>
      <c r="Y247" s="153"/>
      <c r="AD247" s="154"/>
      <c r="AG247" s="81"/>
      <c r="AH247" s="33" t="s">
        <v>34</v>
      </c>
    </row>
    <row r="248" spans="1:34" s="165" customFormat="1" ht="24" x14ac:dyDescent="0.3">
      <c r="A248" s="101">
        <v>248</v>
      </c>
      <c r="B248" s="82" t="s">
        <v>439</v>
      </c>
      <c r="C248" s="155" t="s">
        <v>440</v>
      </c>
      <c r="D248" s="156" t="s">
        <v>124</v>
      </c>
      <c r="E248" s="156"/>
      <c r="F248" s="156" t="s">
        <v>30</v>
      </c>
      <c r="G248" s="157"/>
      <c r="H248" s="92">
        <f t="shared" si="12"/>
        <v>5509.42</v>
      </c>
      <c r="I248" s="158"/>
      <c r="J248" s="104">
        <v>4012.82</v>
      </c>
      <c r="K248" s="89">
        <f t="shared" si="15"/>
        <v>4012.82</v>
      </c>
      <c r="L248" s="103">
        <v>736.4</v>
      </c>
      <c r="M248" s="103">
        <v>79.900000000000006</v>
      </c>
      <c r="N248" s="104"/>
      <c r="O248" s="119">
        <f t="shared" si="16"/>
        <v>760.2</v>
      </c>
      <c r="P248" s="104">
        <v>591</v>
      </c>
      <c r="Q248" s="104">
        <v>24</v>
      </c>
      <c r="R248" s="104">
        <v>145.19999999999999</v>
      </c>
      <c r="S248" s="92">
        <f t="shared" si="14"/>
        <v>4749.22</v>
      </c>
      <c r="T248" s="159" t="s">
        <v>57</v>
      </c>
      <c r="U248" s="160"/>
      <c r="V248" s="161"/>
      <c r="W248" s="161"/>
      <c r="X248" s="160"/>
      <c r="Y248" s="162"/>
      <c r="Z248" s="160"/>
      <c r="AA248" s="160"/>
      <c r="AB248" s="160"/>
      <c r="AC248" s="160"/>
      <c r="AD248" s="163"/>
      <c r="AE248" s="160"/>
      <c r="AF248" s="160"/>
      <c r="AG248" s="160"/>
      <c r="AH248" s="164" t="s">
        <v>441</v>
      </c>
    </row>
    <row r="249" spans="1:34" s="165" customFormat="1" ht="24" x14ac:dyDescent="0.3">
      <c r="A249" s="75">
        <v>249</v>
      </c>
      <c r="B249" s="82" t="s">
        <v>442</v>
      </c>
      <c r="C249" s="155" t="s">
        <v>417</v>
      </c>
      <c r="D249" s="156" t="s">
        <v>443</v>
      </c>
      <c r="E249" s="156"/>
      <c r="F249" s="156" t="s">
        <v>56</v>
      </c>
      <c r="G249" s="157" t="s">
        <v>31</v>
      </c>
      <c r="H249" s="92">
        <f t="shared" si="12"/>
        <v>5861.9000000000005</v>
      </c>
      <c r="I249" s="158"/>
      <c r="J249" s="104">
        <v>4029.6</v>
      </c>
      <c r="K249" s="89">
        <f t="shared" si="15"/>
        <v>4029.6</v>
      </c>
      <c r="L249" s="103">
        <v>1201.7</v>
      </c>
      <c r="M249" s="103"/>
      <c r="N249" s="104"/>
      <c r="O249" s="119">
        <f t="shared" si="16"/>
        <v>630.6</v>
      </c>
      <c r="P249" s="104">
        <v>593.6</v>
      </c>
      <c r="Q249" s="104">
        <v>37</v>
      </c>
      <c r="R249" s="104"/>
      <c r="S249" s="92">
        <f t="shared" si="14"/>
        <v>5231.3</v>
      </c>
      <c r="T249" s="159" t="s">
        <v>57</v>
      </c>
      <c r="U249" s="160"/>
      <c r="V249" s="161"/>
      <c r="W249" s="161"/>
      <c r="X249" s="160"/>
      <c r="Y249" s="162"/>
      <c r="Z249" s="160"/>
      <c r="AA249" s="160"/>
      <c r="AB249" s="160"/>
      <c r="AC249" s="160"/>
      <c r="AD249" s="163"/>
      <c r="AE249" s="160"/>
      <c r="AF249" s="160"/>
      <c r="AG249" s="160"/>
      <c r="AH249" s="164" t="s">
        <v>58</v>
      </c>
    </row>
    <row r="250" spans="1:34" x14ac:dyDescent="0.3">
      <c r="G250" s="166"/>
      <c r="H250" s="167">
        <f>SUBTOTAL(9,H4:H249)</f>
        <v>1360569.4938428879</v>
      </c>
      <c r="I250" s="167">
        <f t="shared" ref="I250:O250" si="17">SUBTOTAL(9,I4:I249)</f>
        <v>1519.7899999999997</v>
      </c>
      <c r="J250" s="167">
        <f t="shared" si="17"/>
        <v>1071465.8800000001</v>
      </c>
      <c r="K250" s="167">
        <f t="shared" si="17"/>
        <v>1072985.67</v>
      </c>
      <c r="L250" s="167">
        <f t="shared" si="17"/>
        <v>99802.449999999939</v>
      </c>
      <c r="M250" s="167">
        <f t="shared" si="17"/>
        <v>7033.9</v>
      </c>
      <c r="N250" s="167">
        <f t="shared" si="17"/>
        <v>185809.55999999997</v>
      </c>
      <c r="O250" s="167">
        <f t="shared" si="17"/>
        <v>187782.37384288854</v>
      </c>
      <c r="P250" s="168">
        <f t="shared" ref="P250:S250" si="18">SUM(P5:P249)</f>
        <v>150719.20000000007</v>
      </c>
      <c r="Q250" s="168">
        <f t="shared" si="18"/>
        <v>17182.618333519615</v>
      </c>
      <c r="R250" s="168">
        <f t="shared" si="18"/>
        <v>19878.555509368714</v>
      </c>
      <c r="S250" s="169">
        <f t="shared" si="18"/>
        <v>1172788.1199999994</v>
      </c>
      <c r="T250" s="168"/>
      <c r="Y250" s="171" t="e">
        <f>#REF!-H250</f>
        <v>#REF!</v>
      </c>
    </row>
    <row r="251" spans="1:34" x14ac:dyDescent="0.3">
      <c r="I251" s="152"/>
      <c r="N251" s="170"/>
      <c r="P251" s="152"/>
      <c r="S251" s="170"/>
    </row>
    <row r="252" spans="1:34" s="176" customFormat="1" x14ac:dyDescent="0.3">
      <c r="B252" s="177"/>
      <c r="C252" s="177" t="s">
        <v>444</v>
      </c>
      <c r="D252" s="196"/>
      <c r="E252" s="179" t="s">
        <v>445</v>
      </c>
      <c r="F252" s="196"/>
      <c r="G252" s="179"/>
      <c r="H252" s="180"/>
      <c r="I252" s="181"/>
      <c r="J252" s="182">
        <f>I250+J250</f>
        <v>1072985.6700000002</v>
      </c>
      <c r="K252" s="182"/>
      <c r="L252" s="183"/>
      <c r="M252" s="219"/>
      <c r="N252" s="219"/>
      <c r="O252" s="219"/>
      <c r="P252" s="219"/>
      <c r="Q252" s="196"/>
      <c r="R252" s="196"/>
      <c r="S252" s="184"/>
      <c r="T252" s="196"/>
      <c r="V252" s="185"/>
      <c r="W252" s="185"/>
      <c r="AD252" s="186"/>
      <c r="AG252" s="187"/>
      <c r="AH252" s="1"/>
    </row>
    <row r="253" spans="1:34" s="152" customFormat="1" hidden="1" x14ac:dyDescent="0.25">
      <c r="A253" s="7"/>
      <c r="B253" s="69"/>
      <c r="C253" s="69"/>
      <c r="G253" s="174"/>
      <c r="H253" s="175">
        <f>SUBTOTAL(9,H14:H249)</f>
        <v>1306469.6838428879</v>
      </c>
      <c r="I253" s="152">
        <f>SUBTOTAL(9,I14:I249)</f>
        <v>1455.8099999999997</v>
      </c>
      <c r="J253" s="152">
        <f>SUBTOTAL(9,J14:J249)</f>
        <v>1032767.78</v>
      </c>
      <c r="L253" s="152">
        <f t="shared" ref="L253:S253" si="19">SUBTOTAL(9,L14:L249)</f>
        <v>91152.219999999987</v>
      </c>
      <c r="M253" s="152">
        <f t="shared" si="19"/>
        <v>6574.4</v>
      </c>
      <c r="N253" s="170">
        <f t="shared" si="19"/>
        <v>180679.85999999996</v>
      </c>
      <c r="O253" s="152">
        <f t="shared" si="19"/>
        <v>181093.87384288851</v>
      </c>
      <c r="P253" s="152">
        <f t="shared" si="19"/>
        <v>144783.80000000005</v>
      </c>
      <c r="Q253" s="152">
        <f t="shared" si="19"/>
        <v>17013.918333519614</v>
      </c>
      <c r="R253" s="152">
        <f t="shared" si="19"/>
        <v>19296.155509368713</v>
      </c>
      <c r="S253" s="152">
        <f t="shared" si="19"/>
        <v>1125375.8099999996</v>
      </c>
      <c r="U253" s="7"/>
      <c r="V253" s="170"/>
      <c r="W253" s="170"/>
      <c r="X253" s="7"/>
      <c r="Y253" s="7"/>
      <c r="Z253" s="7"/>
      <c r="AA253" s="7"/>
      <c r="AB253" s="7"/>
      <c r="AC253" s="7"/>
      <c r="AD253" s="172"/>
      <c r="AE253" s="7"/>
      <c r="AF253" s="7"/>
      <c r="AG253" s="188"/>
      <c r="AH253" s="189" t="s">
        <v>446</v>
      </c>
    </row>
    <row r="254" spans="1:34" hidden="1" x14ac:dyDescent="0.3">
      <c r="C254" s="69" t="s">
        <v>447</v>
      </c>
      <c r="I254" s="190"/>
      <c r="J254" s="168"/>
      <c r="K254" s="168"/>
      <c r="L254" s="168"/>
      <c r="M254" s="168"/>
    </row>
    <row r="255" spans="1:34" hidden="1" x14ac:dyDescent="0.3">
      <c r="C255" s="34" t="s">
        <v>309</v>
      </c>
      <c r="D255" s="35" t="s">
        <v>83</v>
      </c>
      <c r="E255" s="35" t="s">
        <v>29</v>
      </c>
      <c r="F255" s="36" t="s">
        <v>30</v>
      </c>
      <c r="G255" s="37"/>
      <c r="H255" s="113">
        <f>O255+S255</f>
        <v>6361.28</v>
      </c>
      <c r="I255" s="39"/>
      <c r="J255" s="40">
        <f>4785.48-67.1</f>
        <v>4718.3799999999992</v>
      </c>
      <c r="K255" s="40"/>
      <c r="L255" s="42">
        <f>560.9+170.7</f>
        <v>731.59999999999991</v>
      </c>
      <c r="M255" s="42"/>
      <c r="N255" s="40">
        <v>628</v>
      </c>
      <c r="O255" s="43">
        <f>P255+Q255+R255</f>
        <v>911.3</v>
      </c>
      <c r="P255" s="40">
        <v>628</v>
      </c>
      <c r="Q255" s="40">
        <v>0</v>
      </c>
      <c r="R255" s="40">
        <v>283.3</v>
      </c>
      <c r="S255" s="44">
        <f>J255+L255+I255</f>
        <v>5449.98</v>
      </c>
      <c r="T255" s="35" t="s">
        <v>310</v>
      </c>
    </row>
    <row r="256" spans="1:34" hidden="1" x14ac:dyDescent="0.3">
      <c r="C256" s="34" t="s">
        <v>244</v>
      </c>
      <c r="D256" s="35" t="s">
        <v>94</v>
      </c>
      <c r="E256" s="35" t="s">
        <v>29</v>
      </c>
      <c r="F256" s="36" t="s">
        <v>30</v>
      </c>
      <c r="G256" s="37"/>
      <c r="H256" s="114">
        <f>O256+S256</f>
        <v>3829.5</v>
      </c>
      <c r="I256" s="39"/>
      <c r="J256" s="40">
        <f>3347.4-223.9</f>
        <v>3123.5</v>
      </c>
      <c r="K256" s="40"/>
      <c r="L256" s="106">
        <f>83+84.2</f>
        <v>167.2</v>
      </c>
      <c r="M256" s="106">
        <v>84.2</v>
      </c>
      <c r="N256" s="40">
        <v>704.4</v>
      </c>
      <c r="O256" s="43">
        <f>P256+Q256+R256</f>
        <v>538.79999999999995</v>
      </c>
      <c r="P256" s="40">
        <v>500</v>
      </c>
      <c r="Q256" s="40">
        <v>38.799999999999997</v>
      </c>
      <c r="R256" s="40"/>
      <c r="S256" s="44">
        <f>J256+L256+I256</f>
        <v>3290.7</v>
      </c>
      <c r="T256" s="35" t="s">
        <v>247</v>
      </c>
    </row>
    <row r="257" spans="3:20" hidden="1" x14ac:dyDescent="0.3">
      <c r="C257" s="69" t="s">
        <v>448</v>
      </c>
      <c r="L257" s="152" t="s">
        <v>449</v>
      </c>
    </row>
    <row r="258" spans="3:20" hidden="1" x14ac:dyDescent="0.3">
      <c r="C258" s="34" t="s">
        <v>365</v>
      </c>
      <c r="D258" s="35" t="s">
        <v>241</v>
      </c>
      <c r="E258" s="35" t="s">
        <v>161</v>
      </c>
      <c r="F258" s="35" t="s">
        <v>30</v>
      </c>
      <c r="G258" s="115"/>
      <c r="H258" s="113">
        <f>O258+S258</f>
        <v>10573.300000000001</v>
      </c>
      <c r="I258" s="116"/>
      <c r="J258" s="40">
        <f>8258.7+87.2</f>
        <v>8345.9000000000015</v>
      </c>
      <c r="K258" s="40"/>
      <c r="L258" s="42">
        <v>412.3</v>
      </c>
      <c r="M258" s="42"/>
      <c r="N258" s="40">
        <f>1808.4+1299.6+412.3</f>
        <v>3520.3</v>
      </c>
      <c r="O258" s="43">
        <f>P258+Q258+R258</f>
        <v>1815.1</v>
      </c>
      <c r="P258" s="40">
        <v>1299.5999999999999</v>
      </c>
      <c r="Q258" s="40">
        <v>83.4</v>
      </c>
      <c r="R258" s="40">
        <v>432.1</v>
      </c>
      <c r="S258" s="44">
        <f>J258+L258+I258</f>
        <v>8758.2000000000007</v>
      </c>
      <c r="T258" s="35" t="s">
        <v>370</v>
      </c>
    </row>
    <row r="259" spans="3:20" hidden="1" x14ac:dyDescent="0.3">
      <c r="C259" s="34" t="s">
        <v>229</v>
      </c>
      <c r="D259" s="35" t="s">
        <v>105</v>
      </c>
      <c r="E259" s="35" t="s">
        <v>29</v>
      </c>
      <c r="F259" s="36" t="s">
        <v>30</v>
      </c>
      <c r="G259" s="37"/>
      <c r="H259" s="193">
        <f>O259+S259</f>
        <v>50317.46</v>
      </c>
      <c r="I259" s="39"/>
      <c r="J259" s="40">
        <f>35897.5+0.6</f>
        <v>35898.1</v>
      </c>
      <c r="K259" s="40"/>
      <c r="L259" s="42">
        <f>1111.56-9.36-34.4-30.8+3403.4</f>
        <v>4440.3999999999996</v>
      </c>
      <c r="M259" s="42">
        <v>141</v>
      </c>
      <c r="N259" s="42">
        <v>10434.9</v>
      </c>
      <c r="O259" s="43">
        <f>P259+Q259+R259</f>
        <v>9978.9599999999991</v>
      </c>
      <c r="P259" s="42">
        <v>3336</v>
      </c>
      <c r="Q259" s="42"/>
      <c r="R259" s="106">
        <f>7055.14-412.18</f>
        <v>6642.96</v>
      </c>
      <c r="S259" s="44">
        <f>J259+L259+I259</f>
        <v>40338.5</v>
      </c>
      <c r="T259" s="35" t="s">
        <v>232</v>
      </c>
    </row>
    <row r="260" spans="3:20" hidden="1" x14ac:dyDescent="0.3">
      <c r="C260" s="69" t="s">
        <v>450</v>
      </c>
      <c r="L260" s="152" t="s">
        <v>451</v>
      </c>
    </row>
    <row r="261" spans="3:20" hidden="1" x14ac:dyDescent="0.3">
      <c r="C261" s="110" t="s">
        <v>440</v>
      </c>
      <c r="D261" s="111" t="s">
        <v>124</v>
      </c>
      <c r="E261" s="111"/>
      <c r="F261" s="111" t="s">
        <v>30</v>
      </c>
      <c r="G261" s="194"/>
      <c r="H261" s="195"/>
      <c r="I261" s="151"/>
      <c r="J261" s="107"/>
      <c r="K261" s="107"/>
      <c r="L261" s="106"/>
      <c r="M261" s="106"/>
      <c r="N261" s="107"/>
      <c r="O261" s="116"/>
      <c r="P261" s="107"/>
      <c r="Q261" s="107"/>
      <c r="R261" s="107"/>
      <c r="S261" s="44"/>
      <c r="T261" s="111"/>
    </row>
    <row r="262" spans="3:20" hidden="1" x14ac:dyDescent="0.3"/>
  </sheetData>
  <autoFilter ref="A3:AH249" xr:uid="{A9B3A556-3E11-4001-84E4-038D4932925F}"/>
  <mergeCells count="24">
    <mergeCell ref="AH2:AH3"/>
    <mergeCell ref="M252:P252"/>
    <mergeCell ref="Y2:Y3"/>
    <mergeCell ref="Z2:Z3"/>
    <mergeCell ref="AA2:AA3"/>
    <mergeCell ref="AB2:AB3"/>
    <mergeCell ref="AC2:AC3"/>
    <mergeCell ref="AD2:AD3"/>
    <mergeCell ref="L2:L3"/>
    <mergeCell ref="M2:M3"/>
    <mergeCell ref="N2:N3"/>
    <mergeCell ref="O2:R2"/>
    <mergeCell ref="T2:W2"/>
    <mergeCell ref="X2:X3"/>
    <mergeCell ref="A1:AH1"/>
    <mergeCell ref="A2:A3"/>
    <mergeCell ref="B2:B3"/>
    <mergeCell ref="C2:C3"/>
    <mergeCell ref="D2:D3"/>
    <mergeCell ref="E2:E3"/>
    <mergeCell ref="F2:F3"/>
    <mergeCell ref="H2:H3"/>
    <mergeCell ref="I2:I3"/>
    <mergeCell ref="J2:J3"/>
  </mergeCells>
  <pageMargins left="0.19685039370078741" right="0" top="0.15748031496062992" bottom="0.19685039370078741" header="0.31496062992125984" footer="0.31496062992125984"/>
  <pageSetup paperSize="9" scale="8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1E793-39B0-49FD-9CF1-9D31BCF96A68}">
  <dimension ref="A1:AH262"/>
  <sheetViews>
    <sheetView tabSelected="1" zoomScaleNormal="100" workbookViewId="0">
      <selection activeCell="C272" sqref="C272"/>
    </sheetView>
  </sheetViews>
  <sheetFormatPr defaultRowHeight="18.75" x14ac:dyDescent="0.3"/>
  <cols>
    <col min="1" max="1" width="5.140625" style="7" customWidth="1"/>
    <col min="2" max="2" width="27.85546875" style="69" customWidth="1"/>
    <col min="3" max="3" width="46.140625" style="69" customWidth="1"/>
    <col min="4" max="4" width="7.7109375" style="152" customWidth="1"/>
    <col min="5" max="5" width="5.85546875" style="152" customWidth="1"/>
    <col min="6" max="6" width="5.42578125" style="152" customWidth="1"/>
    <col min="7" max="7" width="9.7109375" style="174" customWidth="1"/>
    <col min="8" max="8" width="13.28515625" style="175" hidden="1" customWidth="1"/>
    <col min="9" max="9" width="10.5703125" style="192" hidden="1" customWidth="1"/>
    <col min="10" max="11" width="12.7109375" style="152" hidden="1" customWidth="1"/>
    <col min="12" max="12" width="11.7109375" style="152" hidden="1" customWidth="1"/>
    <col min="13" max="13" width="10.140625" style="152" hidden="1" customWidth="1"/>
    <col min="14" max="14" width="0.140625" style="152" hidden="1" customWidth="1"/>
    <col min="15" max="15" width="11.7109375" style="152" hidden="1" customWidth="1"/>
    <col min="16" max="16" width="10.5703125" style="191" hidden="1" customWidth="1"/>
    <col min="17" max="17" width="10" style="152" hidden="1" customWidth="1"/>
    <col min="18" max="18" width="9.85546875" style="152" hidden="1" customWidth="1"/>
    <col min="19" max="19" width="12.7109375" style="152" hidden="1" customWidth="1"/>
    <col min="20" max="20" width="8.42578125" style="152" hidden="1" customWidth="1"/>
    <col min="21" max="21" width="19" style="7" hidden="1" customWidth="1"/>
    <col min="22" max="22" width="9.140625" style="170" hidden="1" customWidth="1"/>
    <col min="23" max="23" width="8.5703125" style="170" hidden="1" customWidth="1"/>
    <col min="24" max="24" width="9.28515625" style="7" hidden="1" customWidth="1"/>
    <col min="25" max="25" width="11.85546875" style="7" hidden="1" customWidth="1"/>
    <col min="26" max="26" width="11.42578125" style="7" hidden="1" customWidth="1"/>
    <col min="27" max="27" width="9.140625" style="7" hidden="1" customWidth="1"/>
    <col min="28" max="28" width="14" style="7" hidden="1" customWidth="1"/>
    <col min="29" max="29" width="11" style="7" hidden="1" customWidth="1"/>
    <col min="30" max="30" width="15.28515625" style="172" hidden="1" customWidth="1"/>
    <col min="31" max="32" width="0" style="7" hidden="1" customWidth="1"/>
    <col min="33" max="33" width="0" style="15" hidden="1" customWidth="1"/>
    <col min="34" max="34" width="43.42578125" style="173" customWidth="1"/>
    <col min="35" max="93" width="9.140625" style="7"/>
    <col min="94" max="94" width="4" style="7" customWidth="1"/>
    <col min="95" max="95" width="0" style="7" hidden="1" customWidth="1"/>
    <col min="96" max="96" width="39.42578125" style="7" customWidth="1"/>
    <col min="97" max="97" width="7.7109375" style="7" customWidth="1"/>
    <col min="98" max="98" width="5.85546875" style="7" customWidth="1"/>
    <col min="99" max="99" width="5.42578125" style="7" customWidth="1"/>
    <col min="100" max="104" width="0" style="7" hidden="1" customWidth="1"/>
    <col min="105" max="105" width="11.85546875" style="7" customWidth="1"/>
    <col min="106" max="106" width="10.5703125" style="7" customWidth="1"/>
    <col min="107" max="107" width="12.7109375" style="7" customWidth="1"/>
    <col min="108" max="108" width="11.7109375" style="7" customWidth="1"/>
    <col min="109" max="109" width="10.140625" style="7" customWidth="1"/>
    <col min="110" max="110" width="0.140625" style="7" customWidth="1"/>
    <col min="111" max="111" width="11.7109375" style="7" customWidth="1"/>
    <col min="112" max="112" width="10.5703125" style="7" customWidth="1"/>
    <col min="113" max="113" width="10" style="7" customWidth="1"/>
    <col min="114" max="114" width="9.85546875" style="7" customWidth="1"/>
    <col min="115" max="115" width="12.7109375" style="7" customWidth="1"/>
    <col min="116" max="116" width="8.42578125" style="7" customWidth="1"/>
    <col min="117" max="129" width="0" style="7" hidden="1" customWidth="1"/>
    <col min="130" max="130" width="10.5703125" style="7" customWidth="1"/>
    <col min="131" max="349" width="9.140625" style="7"/>
    <col min="350" max="350" width="4" style="7" customWidth="1"/>
    <col min="351" max="351" width="0" style="7" hidden="1" customWidth="1"/>
    <col min="352" max="352" width="39.42578125" style="7" customWidth="1"/>
    <col min="353" max="353" width="7.7109375" style="7" customWidth="1"/>
    <col min="354" max="354" width="5.85546875" style="7" customWidth="1"/>
    <col min="355" max="355" width="5.42578125" style="7" customWidth="1"/>
    <col min="356" max="360" width="0" style="7" hidden="1" customWidth="1"/>
    <col min="361" max="361" width="11.85546875" style="7" customWidth="1"/>
    <col min="362" max="362" width="10.5703125" style="7" customWidth="1"/>
    <col min="363" max="363" width="12.7109375" style="7" customWidth="1"/>
    <col min="364" max="364" width="11.7109375" style="7" customWidth="1"/>
    <col min="365" max="365" width="10.140625" style="7" customWidth="1"/>
    <col min="366" max="366" width="0.140625" style="7" customWidth="1"/>
    <col min="367" max="367" width="11.7109375" style="7" customWidth="1"/>
    <col min="368" max="368" width="10.5703125" style="7" customWidth="1"/>
    <col min="369" max="369" width="10" style="7" customWidth="1"/>
    <col min="370" max="370" width="9.85546875" style="7" customWidth="1"/>
    <col min="371" max="371" width="12.7109375" style="7" customWidth="1"/>
    <col min="372" max="372" width="8.42578125" style="7" customWidth="1"/>
    <col min="373" max="385" width="0" style="7" hidden="1" customWidth="1"/>
    <col min="386" max="386" width="10.5703125" style="7" customWidth="1"/>
    <col min="387" max="605" width="9.140625" style="7"/>
    <col min="606" max="606" width="4" style="7" customWidth="1"/>
    <col min="607" max="607" width="0" style="7" hidden="1" customWidth="1"/>
    <col min="608" max="608" width="39.42578125" style="7" customWidth="1"/>
    <col min="609" max="609" width="7.7109375" style="7" customWidth="1"/>
    <col min="610" max="610" width="5.85546875" style="7" customWidth="1"/>
    <col min="611" max="611" width="5.42578125" style="7" customWidth="1"/>
    <col min="612" max="616" width="0" style="7" hidden="1" customWidth="1"/>
    <col min="617" max="617" width="11.85546875" style="7" customWidth="1"/>
    <col min="618" max="618" width="10.5703125" style="7" customWidth="1"/>
    <col min="619" max="619" width="12.7109375" style="7" customWidth="1"/>
    <col min="620" max="620" width="11.7109375" style="7" customWidth="1"/>
    <col min="621" max="621" width="10.140625" style="7" customWidth="1"/>
    <col min="622" max="622" width="0.140625" style="7" customWidth="1"/>
    <col min="623" max="623" width="11.7109375" style="7" customWidth="1"/>
    <col min="624" max="624" width="10.5703125" style="7" customWidth="1"/>
    <col min="625" max="625" width="10" style="7" customWidth="1"/>
    <col min="626" max="626" width="9.85546875" style="7" customWidth="1"/>
    <col min="627" max="627" width="12.7109375" style="7" customWidth="1"/>
    <col min="628" max="628" width="8.42578125" style="7" customWidth="1"/>
    <col min="629" max="641" width="0" style="7" hidden="1" customWidth="1"/>
    <col min="642" max="642" width="10.5703125" style="7" customWidth="1"/>
    <col min="643" max="861" width="9.140625" style="7"/>
    <col min="862" max="862" width="4" style="7" customWidth="1"/>
    <col min="863" max="863" width="0" style="7" hidden="1" customWidth="1"/>
    <col min="864" max="864" width="39.42578125" style="7" customWidth="1"/>
    <col min="865" max="865" width="7.7109375" style="7" customWidth="1"/>
    <col min="866" max="866" width="5.85546875" style="7" customWidth="1"/>
    <col min="867" max="867" width="5.42578125" style="7" customWidth="1"/>
    <col min="868" max="872" width="0" style="7" hidden="1" customWidth="1"/>
    <col min="873" max="873" width="11.85546875" style="7" customWidth="1"/>
    <col min="874" max="874" width="10.5703125" style="7" customWidth="1"/>
    <col min="875" max="875" width="12.7109375" style="7" customWidth="1"/>
    <col min="876" max="876" width="11.7109375" style="7" customWidth="1"/>
    <col min="877" max="877" width="10.140625" style="7" customWidth="1"/>
    <col min="878" max="878" width="0.140625" style="7" customWidth="1"/>
    <col min="879" max="879" width="11.7109375" style="7" customWidth="1"/>
    <col min="880" max="880" width="10.5703125" style="7" customWidth="1"/>
    <col min="881" max="881" width="10" style="7" customWidth="1"/>
    <col min="882" max="882" width="9.85546875" style="7" customWidth="1"/>
    <col min="883" max="883" width="12.7109375" style="7" customWidth="1"/>
    <col min="884" max="884" width="8.42578125" style="7" customWidth="1"/>
    <col min="885" max="897" width="0" style="7" hidden="1" customWidth="1"/>
    <col min="898" max="898" width="10.5703125" style="7" customWidth="1"/>
    <col min="899" max="1117" width="9.140625" style="7"/>
    <col min="1118" max="1118" width="4" style="7" customWidth="1"/>
    <col min="1119" max="1119" width="0" style="7" hidden="1" customWidth="1"/>
    <col min="1120" max="1120" width="39.42578125" style="7" customWidth="1"/>
    <col min="1121" max="1121" width="7.7109375" style="7" customWidth="1"/>
    <col min="1122" max="1122" width="5.85546875" style="7" customWidth="1"/>
    <col min="1123" max="1123" width="5.42578125" style="7" customWidth="1"/>
    <col min="1124" max="1128" width="0" style="7" hidden="1" customWidth="1"/>
    <col min="1129" max="1129" width="11.85546875" style="7" customWidth="1"/>
    <col min="1130" max="1130" width="10.5703125" style="7" customWidth="1"/>
    <col min="1131" max="1131" width="12.7109375" style="7" customWidth="1"/>
    <col min="1132" max="1132" width="11.7109375" style="7" customWidth="1"/>
    <col min="1133" max="1133" width="10.140625" style="7" customWidth="1"/>
    <col min="1134" max="1134" width="0.140625" style="7" customWidth="1"/>
    <col min="1135" max="1135" width="11.7109375" style="7" customWidth="1"/>
    <col min="1136" max="1136" width="10.5703125" style="7" customWidth="1"/>
    <col min="1137" max="1137" width="10" style="7" customWidth="1"/>
    <col min="1138" max="1138" width="9.85546875" style="7" customWidth="1"/>
    <col min="1139" max="1139" width="12.7109375" style="7" customWidth="1"/>
    <col min="1140" max="1140" width="8.42578125" style="7" customWidth="1"/>
    <col min="1141" max="1153" width="0" style="7" hidden="1" customWidth="1"/>
    <col min="1154" max="1154" width="10.5703125" style="7" customWidth="1"/>
    <col min="1155" max="1373" width="9.140625" style="7"/>
    <col min="1374" max="1374" width="4" style="7" customWidth="1"/>
    <col min="1375" max="1375" width="0" style="7" hidden="1" customWidth="1"/>
    <col min="1376" max="1376" width="39.42578125" style="7" customWidth="1"/>
    <col min="1377" max="1377" width="7.7109375" style="7" customWidth="1"/>
    <col min="1378" max="1378" width="5.85546875" style="7" customWidth="1"/>
    <col min="1379" max="1379" width="5.42578125" style="7" customWidth="1"/>
    <col min="1380" max="1384" width="0" style="7" hidden="1" customWidth="1"/>
    <col min="1385" max="1385" width="11.85546875" style="7" customWidth="1"/>
    <col min="1386" max="1386" width="10.5703125" style="7" customWidth="1"/>
    <col min="1387" max="1387" width="12.7109375" style="7" customWidth="1"/>
    <col min="1388" max="1388" width="11.7109375" style="7" customWidth="1"/>
    <col min="1389" max="1389" width="10.140625" style="7" customWidth="1"/>
    <col min="1390" max="1390" width="0.140625" style="7" customWidth="1"/>
    <col min="1391" max="1391" width="11.7109375" style="7" customWidth="1"/>
    <col min="1392" max="1392" width="10.5703125" style="7" customWidth="1"/>
    <col min="1393" max="1393" width="10" style="7" customWidth="1"/>
    <col min="1394" max="1394" width="9.85546875" style="7" customWidth="1"/>
    <col min="1395" max="1395" width="12.7109375" style="7" customWidth="1"/>
    <col min="1396" max="1396" width="8.42578125" style="7" customWidth="1"/>
    <col min="1397" max="1409" width="0" style="7" hidden="1" customWidth="1"/>
    <col min="1410" max="1410" width="10.5703125" style="7" customWidth="1"/>
    <col min="1411" max="1629" width="9.140625" style="7"/>
    <col min="1630" max="1630" width="4" style="7" customWidth="1"/>
    <col min="1631" max="1631" width="0" style="7" hidden="1" customWidth="1"/>
    <col min="1632" max="1632" width="39.42578125" style="7" customWidth="1"/>
    <col min="1633" max="1633" width="7.7109375" style="7" customWidth="1"/>
    <col min="1634" max="1634" width="5.85546875" style="7" customWidth="1"/>
    <col min="1635" max="1635" width="5.42578125" style="7" customWidth="1"/>
    <col min="1636" max="1640" width="0" style="7" hidden="1" customWidth="1"/>
    <col min="1641" max="1641" width="11.85546875" style="7" customWidth="1"/>
    <col min="1642" max="1642" width="10.5703125" style="7" customWidth="1"/>
    <col min="1643" max="1643" width="12.7109375" style="7" customWidth="1"/>
    <col min="1644" max="1644" width="11.7109375" style="7" customWidth="1"/>
    <col min="1645" max="1645" width="10.140625" style="7" customWidth="1"/>
    <col min="1646" max="1646" width="0.140625" style="7" customWidth="1"/>
    <col min="1647" max="1647" width="11.7109375" style="7" customWidth="1"/>
    <col min="1648" max="1648" width="10.5703125" style="7" customWidth="1"/>
    <col min="1649" max="1649" width="10" style="7" customWidth="1"/>
    <col min="1650" max="1650" width="9.85546875" style="7" customWidth="1"/>
    <col min="1651" max="1651" width="12.7109375" style="7" customWidth="1"/>
    <col min="1652" max="1652" width="8.42578125" style="7" customWidth="1"/>
    <col min="1653" max="1665" width="0" style="7" hidden="1" customWidth="1"/>
    <col min="1666" max="1666" width="10.5703125" style="7" customWidth="1"/>
    <col min="1667" max="1885" width="9.140625" style="7"/>
    <col min="1886" max="1886" width="4" style="7" customWidth="1"/>
    <col min="1887" max="1887" width="0" style="7" hidden="1" customWidth="1"/>
    <col min="1888" max="1888" width="39.42578125" style="7" customWidth="1"/>
    <col min="1889" max="1889" width="7.7109375" style="7" customWidth="1"/>
    <col min="1890" max="1890" width="5.85546875" style="7" customWidth="1"/>
    <col min="1891" max="1891" width="5.42578125" style="7" customWidth="1"/>
    <col min="1892" max="1896" width="0" style="7" hidden="1" customWidth="1"/>
    <col min="1897" max="1897" width="11.85546875" style="7" customWidth="1"/>
    <col min="1898" max="1898" width="10.5703125" style="7" customWidth="1"/>
    <col min="1899" max="1899" width="12.7109375" style="7" customWidth="1"/>
    <col min="1900" max="1900" width="11.7109375" style="7" customWidth="1"/>
    <col min="1901" max="1901" width="10.140625" style="7" customWidth="1"/>
    <col min="1902" max="1902" width="0.140625" style="7" customWidth="1"/>
    <col min="1903" max="1903" width="11.7109375" style="7" customWidth="1"/>
    <col min="1904" max="1904" width="10.5703125" style="7" customWidth="1"/>
    <col min="1905" max="1905" width="10" style="7" customWidth="1"/>
    <col min="1906" max="1906" width="9.85546875" style="7" customWidth="1"/>
    <col min="1907" max="1907" width="12.7109375" style="7" customWidth="1"/>
    <col min="1908" max="1908" width="8.42578125" style="7" customWidth="1"/>
    <col min="1909" max="1921" width="0" style="7" hidden="1" customWidth="1"/>
    <col min="1922" max="1922" width="10.5703125" style="7" customWidth="1"/>
    <col min="1923" max="2141" width="9.140625" style="7"/>
    <col min="2142" max="2142" width="4" style="7" customWidth="1"/>
    <col min="2143" max="2143" width="0" style="7" hidden="1" customWidth="1"/>
    <col min="2144" max="2144" width="39.42578125" style="7" customWidth="1"/>
    <col min="2145" max="2145" width="7.7109375" style="7" customWidth="1"/>
    <col min="2146" max="2146" width="5.85546875" style="7" customWidth="1"/>
    <col min="2147" max="2147" width="5.42578125" style="7" customWidth="1"/>
    <col min="2148" max="2152" width="0" style="7" hidden="1" customWidth="1"/>
    <col min="2153" max="2153" width="11.85546875" style="7" customWidth="1"/>
    <col min="2154" max="2154" width="10.5703125" style="7" customWidth="1"/>
    <col min="2155" max="2155" width="12.7109375" style="7" customWidth="1"/>
    <col min="2156" max="2156" width="11.7109375" style="7" customWidth="1"/>
    <col min="2157" max="2157" width="10.140625" style="7" customWidth="1"/>
    <col min="2158" max="2158" width="0.140625" style="7" customWidth="1"/>
    <col min="2159" max="2159" width="11.7109375" style="7" customWidth="1"/>
    <col min="2160" max="2160" width="10.5703125" style="7" customWidth="1"/>
    <col min="2161" max="2161" width="10" style="7" customWidth="1"/>
    <col min="2162" max="2162" width="9.85546875" style="7" customWidth="1"/>
    <col min="2163" max="2163" width="12.7109375" style="7" customWidth="1"/>
    <col min="2164" max="2164" width="8.42578125" style="7" customWidth="1"/>
    <col min="2165" max="2177" width="0" style="7" hidden="1" customWidth="1"/>
    <col min="2178" max="2178" width="10.5703125" style="7" customWidth="1"/>
    <col min="2179" max="2397" width="9.140625" style="7"/>
    <col min="2398" max="2398" width="4" style="7" customWidth="1"/>
    <col min="2399" max="2399" width="0" style="7" hidden="1" customWidth="1"/>
    <col min="2400" max="2400" width="39.42578125" style="7" customWidth="1"/>
    <col min="2401" max="2401" width="7.7109375" style="7" customWidth="1"/>
    <col min="2402" max="2402" width="5.85546875" style="7" customWidth="1"/>
    <col min="2403" max="2403" width="5.42578125" style="7" customWidth="1"/>
    <col min="2404" max="2408" width="0" style="7" hidden="1" customWidth="1"/>
    <col min="2409" max="2409" width="11.85546875" style="7" customWidth="1"/>
    <col min="2410" max="2410" width="10.5703125" style="7" customWidth="1"/>
    <col min="2411" max="2411" width="12.7109375" style="7" customWidth="1"/>
    <col min="2412" max="2412" width="11.7109375" style="7" customWidth="1"/>
    <col min="2413" max="2413" width="10.140625" style="7" customWidth="1"/>
    <col min="2414" max="2414" width="0.140625" style="7" customWidth="1"/>
    <col min="2415" max="2415" width="11.7109375" style="7" customWidth="1"/>
    <col min="2416" max="2416" width="10.5703125" style="7" customWidth="1"/>
    <col min="2417" max="2417" width="10" style="7" customWidth="1"/>
    <col min="2418" max="2418" width="9.85546875" style="7" customWidth="1"/>
    <col min="2419" max="2419" width="12.7109375" style="7" customWidth="1"/>
    <col min="2420" max="2420" width="8.42578125" style="7" customWidth="1"/>
    <col min="2421" max="2433" width="0" style="7" hidden="1" customWidth="1"/>
    <col min="2434" max="2434" width="10.5703125" style="7" customWidth="1"/>
    <col min="2435" max="2653" width="9.140625" style="7"/>
    <col min="2654" max="2654" width="4" style="7" customWidth="1"/>
    <col min="2655" max="2655" width="0" style="7" hidden="1" customWidth="1"/>
    <col min="2656" max="2656" width="39.42578125" style="7" customWidth="1"/>
    <col min="2657" max="2657" width="7.7109375" style="7" customWidth="1"/>
    <col min="2658" max="2658" width="5.85546875" style="7" customWidth="1"/>
    <col min="2659" max="2659" width="5.42578125" style="7" customWidth="1"/>
    <col min="2660" max="2664" width="0" style="7" hidden="1" customWidth="1"/>
    <col min="2665" max="2665" width="11.85546875" style="7" customWidth="1"/>
    <col min="2666" max="2666" width="10.5703125" style="7" customWidth="1"/>
    <col min="2667" max="2667" width="12.7109375" style="7" customWidth="1"/>
    <col min="2668" max="2668" width="11.7109375" style="7" customWidth="1"/>
    <col min="2669" max="2669" width="10.140625" style="7" customWidth="1"/>
    <col min="2670" max="2670" width="0.140625" style="7" customWidth="1"/>
    <col min="2671" max="2671" width="11.7109375" style="7" customWidth="1"/>
    <col min="2672" max="2672" width="10.5703125" style="7" customWidth="1"/>
    <col min="2673" max="2673" width="10" style="7" customWidth="1"/>
    <col min="2674" max="2674" width="9.85546875" style="7" customWidth="1"/>
    <col min="2675" max="2675" width="12.7109375" style="7" customWidth="1"/>
    <col min="2676" max="2676" width="8.42578125" style="7" customWidth="1"/>
    <col min="2677" max="2689" width="0" style="7" hidden="1" customWidth="1"/>
    <col min="2690" max="2690" width="10.5703125" style="7" customWidth="1"/>
    <col min="2691" max="2909" width="9.140625" style="7"/>
    <col min="2910" max="2910" width="4" style="7" customWidth="1"/>
    <col min="2911" max="2911" width="0" style="7" hidden="1" customWidth="1"/>
    <col min="2912" max="2912" width="39.42578125" style="7" customWidth="1"/>
    <col min="2913" max="2913" width="7.7109375" style="7" customWidth="1"/>
    <col min="2914" max="2914" width="5.85546875" style="7" customWidth="1"/>
    <col min="2915" max="2915" width="5.42578125" style="7" customWidth="1"/>
    <col min="2916" max="2920" width="0" style="7" hidden="1" customWidth="1"/>
    <col min="2921" max="2921" width="11.85546875" style="7" customWidth="1"/>
    <col min="2922" max="2922" width="10.5703125" style="7" customWidth="1"/>
    <col min="2923" max="2923" width="12.7109375" style="7" customWidth="1"/>
    <col min="2924" max="2924" width="11.7109375" style="7" customWidth="1"/>
    <col min="2925" max="2925" width="10.140625" style="7" customWidth="1"/>
    <col min="2926" max="2926" width="0.140625" style="7" customWidth="1"/>
    <col min="2927" max="2927" width="11.7109375" style="7" customWidth="1"/>
    <col min="2928" max="2928" width="10.5703125" style="7" customWidth="1"/>
    <col min="2929" max="2929" width="10" style="7" customWidth="1"/>
    <col min="2930" max="2930" width="9.85546875" style="7" customWidth="1"/>
    <col min="2931" max="2931" width="12.7109375" style="7" customWidth="1"/>
    <col min="2932" max="2932" width="8.42578125" style="7" customWidth="1"/>
    <col min="2933" max="2945" width="0" style="7" hidden="1" customWidth="1"/>
    <col min="2946" max="2946" width="10.5703125" style="7" customWidth="1"/>
    <col min="2947" max="3165" width="9.140625" style="7"/>
    <col min="3166" max="3166" width="4" style="7" customWidth="1"/>
    <col min="3167" max="3167" width="0" style="7" hidden="1" customWidth="1"/>
    <col min="3168" max="3168" width="39.42578125" style="7" customWidth="1"/>
    <col min="3169" max="3169" width="7.7109375" style="7" customWidth="1"/>
    <col min="3170" max="3170" width="5.85546875" style="7" customWidth="1"/>
    <col min="3171" max="3171" width="5.42578125" style="7" customWidth="1"/>
    <col min="3172" max="3176" width="0" style="7" hidden="1" customWidth="1"/>
    <col min="3177" max="3177" width="11.85546875" style="7" customWidth="1"/>
    <col min="3178" max="3178" width="10.5703125" style="7" customWidth="1"/>
    <col min="3179" max="3179" width="12.7109375" style="7" customWidth="1"/>
    <col min="3180" max="3180" width="11.7109375" style="7" customWidth="1"/>
    <col min="3181" max="3181" width="10.140625" style="7" customWidth="1"/>
    <col min="3182" max="3182" width="0.140625" style="7" customWidth="1"/>
    <col min="3183" max="3183" width="11.7109375" style="7" customWidth="1"/>
    <col min="3184" max="3184" width="10.5703125" style="7" customWidth="1"/>
    <col min="3185" max="3185" width="10" style="7" customWidth="1"/>
    <col min="3186" max="3186" width="9.85546875" style="7" customWidth="1"/>
    <col min="3187" max="3187" width="12.7109375" style="7" customWidth="1"/>
    <col min="3188" max="3188" width="8.42578125" style="7" customWidth="1"/>
    <col min="3189" max="3201" width="0" style="7" hidden="1" customWidth="1"/>
    <col min="3202" max="3202" width="10.5703125" style="7" customWidth="1"/>
    <col min="3203" max="3421" width="9.140625" style="7"/>
    <col min="3422" max="3422" width="4" style="7" customWidth="1"/>
    <col min="3423" max="3423" width="0" style="7" hidden="1" customWidth="1"/>
    <col min="3424" max="3424" width="39.42578125" style="7" customWidth="1"/>
    <col min="3425" max="3425" width="7.7109375" style="7" customWidth="1"/>
    <col min="3426" max="3426" width="5.85546875" style="7" customWidth="1"/>
    <col min="3427" max="3427" width="5.42578125" style="7" customWidth="1"/>
    <col min="3428" max="3432" width="0" style="7" hidden="1" customWidth="1"/>
    <col min="3433" max="3433" width="11.85546875" style="7" customWidth="1"/>
    <col min="3434" max="3434" width="10.5703125" style="7" customWidth="1"/>
    <col min="3435" max="3435" width="12.7109375" style="7" customWidth="1"/>
    <col min="3436" max="3436" width="11.7109375" style="7" customWidth="1"/>
    <col min="3437" max="3437" width="10.140625" style="7" customWidth="1"/>
    <col min="3438" max="3438" width="0.140625" style="7" customWidth="1"/>
    <col min="3439" max="3439" width="11.7109375" style="7" customWidth="1"/>
    <col min="3440" max="3440" width="10.5703125" style="7" customWidth="1"/>
    <col min="3441" max="3441" width="10" style="7" customWidth="1"/>
    <col min="3442" max="3442" width="9.85546875" style="7" customWidth="1"/>
    <col min="3443" max="3443" width="12.7109375" style="7" customWidth="1"/>
    <col min="3444" max="3444" width="8.42578125" style="7" customWidth="1"/>
    <col min="3445" max="3457" width="0" style="7" hidden="1" customWidth="1"/>
    <col min="3458" max="3458" width="10.5703125" style="7" customWidth="1"/>
    <col min="3459" max="3677" width="9.140625" style="7"/>
    <col min="3678" max="3678" width="4" style="7" customWidth="1"/>
    <col min="3679" max="3679" width="0" style="7" hidden="1" customWidth="1"/>
    <col min="3680" max="3680" width="39.42578125" style="7" customWidth="1"/>
    <col min="3681" max="3681" width="7.7109375" style="7" customWidth="1"/>
    <col min="3682" max="3682" width="5.85546875" style="7" customWidth="1"/>
    <col min="3683" max="3683" width="5.42578125" style="7" customWidth="1"/>
    <col min="3684" max="3688" width="0" style="7" hidden="1" customWidth="1"/>
    <col min="3689" max="3689" width="11.85546875" style="7" customWidth="1"/>
    <col min="3690" max="3690" width="10.5703125" style="7" customWidth="1"/>
    <col min="3691" max="3691" width="12.7109375" style="7" customWidth="1"/>
    <col min="3692" max="3692" width="11.7109375" style="7" customWidth="1"/>
    <col min="3693" max="3693" width="10.140625" style="7" customWidth="1"/>
    <col min="3694" max="3694" width="0.140625" style="7" customWidth="1"/>
    <col min="3695" max="3695" width="11.7109375" style="7" customWidth="1"/>
    <col min="3696" max="3696" width="10.5703125" style="7" customWidth="1"/>
    <col min="3697" max="3697" width="10" style="7" customWidth="1"/>
    <col min="3698" max="3698" width="9.85546875" style="7" customWidth="1"/>
    <col min="3699" max="3699" width="12.7109375" style="7" customWidth="1"/>
    <col min="3700" max="3700" width="8.42578125" style="7" customWidth="1"/>
    <col min="3701" max="3713" width="0" style="7" hidden="1" customWidth="1"/>
    <col min="3714" max="3714" width="10.5703125" style="7" customWidth="1"/>
    <col min="3715" max="3933" width="9.140625" style="7"/>
    <col min="3934" max="3934" width="4" style="7" customWidth="1"/>
    <col min="3935" max="3935" width="0" style="7" hidden="1" customWidth="1"/>
    <col min="3936" max="3936" width="39.42578125" style="7" customWidth="1"/>
    <col min="3937" max="3937" width="7.7109375" style="7" customWidth="1"/>
    <col min="3938" max="3938" width="5.85546875" style="7" customWidth="1"/>
    <col min="3939" max="3939" width="5.42578125" style="7" customWidth="1"/>
    <col min="3940" max="3944" width="0" style="7" hidden="1" customWidth="1"/>
    <col min="3945" max="3945" width="11.85546875" style="7" customWidth="1"/>
    <col min="3946" max="3946" width="10.5703125" style="7" customWidth="1"/>
    <col min="3947" max="3947" width="12.7109375" style="7" customWidth="1"/>
    <col min="3948" max="3948" width="11.7109375" style="7" customWidth="1"/>
    <col min="3949" max="3949" width="10.140625" style="7" customWidth="1"/>
    <col min="3950" max="3950" width="0.140625" style="7" customWidth="1"/>
    <col min="3951" max="3951" width="11.7109375" style="7" customWidth="1"/>
    <col min="3952" max="3952" width="10.5703125" style="7" customWidth="1"/>
    <col min="3953" max="3953" width="10" style="7" customWidth="1"/>
    <col min="3954" max="3954" width="9.85546875" style="7" customWidth="1"/>
    <col min="3955" max="3955" width="12.7109375" style="7" customWidth="1"/>
    <col min="3956" max="3956" width="8.42578125" style="7" customWidth="1"/>
    <col min="3957" max="3969" width="0" style="7" hidden="1" customWidth="1"/>
    <col min="3970" max="3970" width="10.5703125" style="7" customWidth="1"/>
    <col min="3971" max="4189" width="9.140625" style="7"/>
    <col min="4190" max="4190" width="4" style="7" customWidth="1"/>
    <col min="4191" max="4191" width="0" style="7" hidden="1" customWidth="1"/>
    <col min="4192" max="4192" width="39.42578125" style="7" customWidth="1"/>
    <col min="4193" max="4193" width="7.7109375" style="7" customWidth="1"/>
    <col min="4194" max="4194" width="5.85546875" style="7" customWidth="1"/>
    <col min="4195" max="4195" width="5.42578125" style="7" customWidth="1"/>
    <col min="4196" max="4200" width="0" style="7" hidden="1" customWidth="1"/>
    <col min="4201" max="4201" width="11.85546875" style="7" customWidth="1"/>
    <col min="4202" max="4202" width="10.5703125" style="7" customWidth="1"/>
    <col min="4203" max="4203" width="12.7109375" style="7" customWidth="1"/>
    <col min="4204" max="4204" width="11.7109375" style="7" customWidth="1"/>
    <col min="4205" max="4205" width="10.140625" style="7" customWidth="1"/>
    <col min="4206" max="4206" width="0.140625" style="7" customWidth="1"/>
    <col min="4207" max="4207" width="11.7109375" style="7" customWidth="1"/>
    <col min="4208" max="4208" width="10.5703125" style="7" customWidth="1"/>
    <col min="4209" max="4209" width="10" style="7" customWidth="1"/>
    <col min="4210" max="4210" width="9.85546875" style="7" customWidth="1"/>
    <col min="4211" max="4211" width="12.7109375" style="7" customWidth="1"/>
    <col min="4212" max="4212" width="8.42578125" style="7" customWidth="1"/>
    <col min="4213" max="4225" width="0" style="7" hidden="1" customWidth="1"/>
    <col min="4226" max="4226" width="10.5703125" style="7" customWidth="1"/>
    <col min="4227" max="4445" width="9.140625" style="7"/>
    <col min="4446" max="4446" width="4" style="7" customWidth="1"/>
    <col min="4447" max="4447" width="0" style="7" hidden="1" customWidth="1"/>
    <col min="4448" max="4448" width="39.42578125" style="7" customWidth="1"/>
    <col min="4449" max="4449" width="7.7109375" style="7" customWidth="1"/>
    <col min="4450" max="4450" width="5.85546875" style="7" customWidth="1"/>
    <col min="4451" max="4451" width="5.42578125" style="7" customWidth="1"/>
    <col min="4452" max="4456" width="0" style="7" hidden="1" customWidth="1"/>
    <col min="4457" max="4457" width="11.85546875" style="7" customWidth="1"/>
    <col min="4458" max="4458" width="10.5703125" style="7" customWidth="1"/>
    <col min="4459" max="4459" width="12.7109375" style="7" customWidth="1"/>
    <col min="4460" max="4460" width="11.7109375" style="7" customWidth="1"/>
    <col min="4461" max="4461" width="10.140625" style="7" customWidth="1"/>
    <col min="4462" max="4462" width="0.140625" style="7" customWidth="1"/>
    <col min="4463" max="4463" width="11.7109375" style="7" customWidth="1"/>
    <col min="4464" max="4464" width="10.5703125" style="7" customWidth="1"/>
    <col min="4465" max="4465" width="10" style="7" customWidth="1"/>
    <col min="4466" max="4466" width="9.85546875" style="7" customWidth="1"/>
    <col min="4467" max="4467" width="12.7109375" style="7" customWidth="1"/>
    <col min="4468" max="4468" width="8.42578125" style="7" customWidth="1"/>
    <col min="4469" max="4481" width="0" style="7" hidden="1" customWidth="1"/>
    <col min="4482" max="4482" width="10.5703125" style="7" customWidth="1"/>
    <col min="4483" max="4701" width="9.140625" style="7"/>
    <col min="4702" max="4702" width="4" style="7" customWidth="1"/>
    <col min="4703" max="4703" width="0" style="7" hidden="1" customWidth="1"/>
    <col min="4704" max="4704" width="39.42578125" style="7" customWidth="1"/>
    <col min="4705" max="4705" width="7.7109375" style="7" customWidth="1"/>
    <col min="4706" max="4706" width="5.85546875" style="7" customWidth="1"/>
    <col min="4707" max="4707" width="5.42578125" style="7" customWidth="1"/>
    <col min="4708" max="4712" width="0" style="7" hidden="1" customWidth="1"/>
    <col min="4713" max="4713" width="11.85546875" style="7" customWidth="1"/>
    <col min="4714" max="4714" width="10.5703125" style="7" customWidth="1"/>
    <col min="4715" max="4715" width="12.7109375" style="7" customWidth="1"/>
    <col min="4716" max="4716" width="11.7109375" style="7" customWidth="1"/>
    <col min="4717" max="4717" width="10.140625" style="7" customWidth="1"/>
    <col min="4718" max="4718" width="0.140625" style="7" customWidth="1"/>
    <col min="4719" max="4719" width="11.7109375" style="7" customWidth="1"/>
    <col min="4720" max="4720" width="10.5703125" style="7" customWidth="1"/>
    <col min="4721" max="4721" width="10" style="7" customWidth="1"/>
    <col min="4722" max="4722" width="9.85546875" style="7" customWidth="1"/>
    <col min="4723" max="4723" width="12.7109375" style="7" customWidth="1"/>
    <col min="4724" max="4724" width="8.42578125" style="7" customWidth="1"/>
    <col min="4725" max="4737" width="0" style="7" hidden="1" customWidth="1"/>
    <col min="4738" max="4738" width="10.5703125" style="7" customWidth="1"/>
    <col min="4739" max="4957" width="9.140625" style="7"/>
    <col min="4958" max="4958" width="4" style="7" customWidth="1"/>
    <col min="4959" max="4959" width="0" style="7" hidden="1" customWidth="1"/>
    <col min="4960" max="4960" width="39.42578125" style="7" customWidth="1"/>
    <col min="4961" max="4961" width="7.7109375" style="7" customWidth="1"/>
    <col min="4962" max="4962" width="5.85546875" style="7" customWidth="1"/>
    <col min="4963" max="4963" width="5.42578125" style="7" customWidth="1"/>
    <col min="4964" max="4968" width="0" style="7" hidden="1" customWidth="1"/>
    <col min="4969" max="4969" width="11.85546875" style="7" customWidth="1"/>
    <col min="4970" max="4970" width="10.5703125" style="7" customWidth="1"/>
    <col min="4971" max="4971" width="12.7109375" style="7" customWidth="1"/>
    <col min="4972" max="4972" width="11.7109375" style="7" customWidth="1"/>
    <col min="4973" max="4973" width="10.140625" style="7" customWidth="1"/>
    <col min="4974" max="4974" width="0.140625" style="7" customWidth="1"/>
    <col min="4975" max="4975" width="11.7109375" style="7" customWidth="1"/>
    <col min="4976" max="4976" width="10.5703125" style="7" customWidth="1"/>
    <col min="4977" max="4977" width="10" style="7" customWidth="1"/>
    <col min="4978" max="4978" width="9.85546875" style="7" customWidth="1"/>
    <col min="4979" max="4979" width="12.7109375" style="7" customWidth="1"/>
    <col min="4980" max="4980" width="8.42578125" style="7" customWidth="1"/>
    <col min="4981" max="4993" width="0" style="7" hidden="1" customWidth="1"/>
    <col min="4994" max="4994" width="10.5703125" style="7" customWidth="1"/>
    <col min="4995" max="5213" width="9.140625" style="7"/>
    <col min="5214" max="5214" width="4" style="7" customWidth="1"/>
    <col min="5215" max="5215" width="0" style="7" hidden="1" customWidth="1"/>
    <col min="5216" max="5216" width="39.42578125" style="7" customWidth="1"/>
    <col min="5217" max="5217" width="7.7109375" style="7" customWidth="1"/>
    <col min="5218" max="5218" width="5.85546875" style="7" customWidth="1"/>
    <col min="5219" max="5219" width="5.42578125" style="7" customWidth="1"/>
    <col min="5220" max="5224" width="0" style="7" hidden="1" customWidth="1"/>
    <col min="5225" max="5225" width="11.85546875" style="7" customWidth="1"/>
    <col min="5226" max="5226" width="10.5703125" style="7" customWidth="1"/>
    <col min="5227" max="5227" width="12.7109375" style="7" customWidth="1"/>
    <col min="5228" max="5228" width="11.7109375" style="7" customWidth="1"/>
    <col min="5229" max="5229" width="10.140625" style="7" customWidth="1"/>
    <col min="5230" max="5230" width="0.140625" style="7" customWidth="1"/>
    <col min="5231" max="5231" width="11.7109375" style="7" customWidth="1"/>
    <col min="5232" max="5232" width="10.5703125" style="7" customWidth="1"/>
    <col min="5233" max="5233" width="10" style="7" customWidth="1"/>
    <col min="5234" max="5234" width="9.85546875" style="7" customWidth="1"/>
    <col min="5235" max="5235" width="12.7109375" style="7" customWidth="1"/>
    <col min="5236" max="5236" width="8.42578125" style="7" customWidth="1"/>
    <col min="5237" max="5249" width="0" style="7" hidden="1" customWidth="1"/>
    <col min="5250" max="5250" width="10.5703125" style="7" customWidth="1"/>
    <col min="5251" max="5469" width="9.140625" style="7"/>
    <col min="5470" max="5470" width="4" style="7" customWidth="1"/>
    <col min="5471" max="5471" width="0" style="7" hidden="1" customWidth="1"/>
    <col min="5472" max="5472" width="39.42578125" style="7" customWidth="1"/>
    <col min="5473" max="5473" width="7.7109375" style="7" customWidth="1"/>
    <col min="5474" max="5474" width="5.85546875" style="7" customWidth="1"/>
    <col min="5475" max="5475" width="5.42578125" style="7" customWidth="1"/>
    <col min="5476" max="5480" width="0" style="7" hidden="1" customWidth="1"/>
    <col min="5481" max="5481" width="11.85546875" style="7" customWidth="1"/>
    <col min="5482" max="5482" width="10.5703125" style="7" customWidth="1"/>
    <col min="5483" max="5483" width="12.7109375" style="7" customWidth="1"/>
    <col min="5484" max="5484" width="11.7109375" style="7" customWidth="1"/>
    <col min="5485" max="5485" width="10.140625" style="7" customWidth="1"/>
    <col min="5486" max="5486" width="0.140625" style="7" customWidth="1"/>
    <col min="5487" max="5487" width="11.7109375" style="7" customWidth="1"/>
    <col min="5488" max="5488" width="10.5703125" style="7" customWidth="1"/>
    <col min="5489" max="5489" width="10" style="7" customWidth="1"/>
    <col min="5490" max="5490" width="9.85546875" style="7" customWidth="1"/>
    <col min="5491" max="5491" width="12.7109375" style="7" customWidth="1"/>
    <col min="5492" max="5492" width="8.42578125" style="7" customWidth="1"/>
    <col min="5493" max="5505" width="0" style="7" hidden="1" customWidth="1"/>
    <col min="5506" max="5506" width="10.5703125" style="7" customWidth="1"/>
    <col min="5507" max="5725" width="9.140625" style="7"/>
    <col min="5726" max="5726" width="4" style="7" customWidth="1"/>
    <col min="5727" max="5727" width="0" style="7" hidden="1" customWidth="1"/>
    <col min="5728" max="5728" width="39.42578125" style="7" customWidth="1"/>
    <col min="5729" max="5729" width="7.7109375" style="7" customWidth="1"/>
    <col min="5730" max="5730" width="5.85546875" style="7" customWidth="1"/>
    <col min="5731" max="5731" width="5.42578125" style="7" customWidth="1"/>
    <col min="5732" max="5736" width="0" style="7" hidden="1" customWidth="1"/>
    <col min="5737" max="5737" width="11.85546875" style="7" customWidth="1"/>
    <col min="5738" max="5738" width="10.5703125" style="7" customWidth="1"/>
    <col min="5739" max="5739" width="12.7109375" style="7" customWidth="1"/>
    <col min="5740" max="5740" width="11.7109375" style="7" customWidth="1"/>
    <col min="5741" max="5741" width="10.140625" style="7" customWidth="1"/>
    <col min="5742" max="5742" width="0.140625" style="7" customWidth="1"/>
    <col min="5743" max="5743" width="11.7109375" style="7" customWidth="1"/>
    <col min="5744" max="5744" width="10.5703125" style="7" customWidth="1"/>
    <col min="5745" max="5745" width="10" style="7" customWidth="1"/>
    <col min="5746" max="5746" width="9.85546875" style="7" customWidth="1"/>
    <col min="5747" max="5747" width="12.7109375" style="7" customWidth="1"/>
    <col min="5748" max="5748" width="8.42578125" style="7" customWidth="1"/>
    <col min="5749" max="5761" width="0" style="7" hidden="1" customWidth="1"/>
    <col min="5762" max="5762" width="10.5703125" style="7" customWidth="1"/>
    <col min="5763" max="5981" width="9.140625" style="7"/>
    <col min="5982" max="5982" width="4" style="7" customWidth="1"/>
    <col min="5983" max="5983" width="0" style="7" hidden="1" customWidth="1"/>
    <col min="5984" max="5984" width="39.42578125" style="7" customWidth="1"/>
    <col min="5985" max="5985" width="7.7109375" style="7" customWidth="1"/>
    <col min="5986" max="5986" width="5.85546875" style="7" customWidth="1"/>
    <col min="5987" max="5987" width="5.42578125" style="7" customWidth="1"/>
    <col min="5988" max="5992" width="0" style="7" hidden="1" customWidth="1"/>
    <col min="5993" max="5993" width="11.85546875" style="7" customWidth="1"/>
    <col min="5994" max="5994" width="10.5703125" style="7" customWidth="1"/>
    <col min="5995" max="5995" width="12.7109375" style="7" customWidth="1"/>
    <col min="5996" max="5996" width="11.7109375" style="7" customWidth="1"/>
    <col min="5997" max="5997" width="10.140625" style="7" customWidth="1"/>
    <col min="5998" max="5998" width="0.140625" style="7" customWidth="1"/>
    <col min="5999" max="5999" width="11.7109375" style="7" customWidth="1"/>
    <col min="6000" max="6000" width="10.5703125" style="7" customWidth="1"/>
    <col min="6001" max="6001" width="10" style="7" customWidth="1"/>
    <col min="6002" max="6002" width="9.85546875" style="7" customWidth="1"/>
    <col min="6003" max="6003" width="12.7109375" style="7" customWidth="1"/>
    <col min="6004" max="6004" width="8.42578125" style="7" customWidth="1"/>
    <col min="6005" max="6017" width="0" style="7" hidden="1" customWidth="1"/>
    <col min="6018" max="6018" width="10.5703125" style="7" customWidth="1"/>
    <col min="6019" max="6237" width="9.140625" style="7"/>
    <col min="6238" max="6238" width="4" style="7" customWidth="1"/>
    <col min="6239" max="6239" width="0" style="7" hidden="1" customWidth="1"/>
    <col min="6240" max="6240" width="39.42578125" style="7" customWidth="1"/>
    <col min="6241" max="6241" width="7.7109375" style="7" customWidth="1"/>
    <col min="6242" max="6242" width="5.85546875" style="7" customWidth="1"/>
    <col min="6243" max="6243" width="5.42578125" style="7" customWidth="1"/>
    <col min="6244" max="6248" width="0" style="7" hidden="1" customWidth="1"/>
    <col min="6249" max="6249" width="11.85546875" style="7" customWidth="1"/>
    <col min="6250" max="6250" width="10.5703125" style="7" customWidth="1"/>
    <col min="6251" max="6251" width="12.7109375" style="7" customWidth="1"/>
    <col min="6252" max="6252" width="11.7109375" style="7" customWidth="1"/>
    <col min="6253" max="6253" width="10.140625" style="7" customWidth="1"/>
    <col min="6254" max="6254" width="0.140625" style="7" customWidth="1"/>
    <col min="6255" max="6255" width="11.7109375" style="7" customWidth="1"/>
    <col min="6256" max="6256" width="10.5703125" style="7" customWidth="1"/>
    <col min="6257" max="6257" width="10" style="7" customWidth="1"/>
    <col min="6258" max="6258" width="9.85546875" style="7" customWidth="1"/>
    <col min="6259" max="6259" width="12.7109375" style="7" customWidth="1"/>
    <col min="6260" max="6260" width="8.42578125" style="7" customWidth="1"/>
    <col min="6261" max="6273" width="0" style="7" hidden="1" customWidth="1"/>
    <col min="6274" max="6274" width="10.5703125" style="7" customWidth="1"/>
    <col min="6275" max="6493" width="9.140625" style="7"/>
    <col min="6494" max="6494" width="4" style="7" customWidth="1"/>
    <col min="6495" max="6495" width="0" style="7" hidden="1" customWidth="1"/>
    <col min="6496" max="6496" width="39.42578125" style="7" customWidth="1"/>
    <col min="6497" max="6497" width="7.7109375" style="7" customWidth="1"/>
    <col min="6498" max="6498" width="5.85546875" style="7" customWidth="1"/>
    <col min="6499" max="6499" width="5.42578125" style="7" customWidth="1"/>
    <col min="6500" max="6504" width="0" style="7" hidden="1" customWidth="1"/>
    <col min="6505" max="6505" width="11.85546875" style="7" customWidth="1"/>
    <col min="6506" max="6506" width="10.5703125" style="7" customWidth="1"/>
    <col min="6507" max="6507" width="12.7109375" style="7" customWidth="1"/>
    <col min="6508" max="6508" width="11.7109375" style="7" customWidth="1"/>
    <col min="6509" max="6509" width="10.140625" style="7" customWidth="1"/>
    <col min="6510" max="6510" width="0.140625" style="7" customWidth="1"/>
    <col min="6511" max="6511" width="11.7109375" style="7" customWidth="1"/>
    <col min="6512" max="6512" width="10.5703125" style="7" customWidth="1"/>
    <col min="6513" max="6513" width="10" style="7" customWidth="1"/>
    <col min="6514" max="6514" width="9.85546875" style="7" customWidth="1"/>
    <col min="6515" max="6515" width="12.7109375" style="7" customWidth="1"/>
    <col min="6516" max="6516" width="8.42578125" style="7" customWidth="1"/>
    <col min="6517" max="6529" width="0" style="7" hidden="1" customWidth="1"/>
    <col min="6530" max="6530" width="10.5703125" style="7" customWidth="1"/>
    <col min="6531" max="6749" width="9.140625" style="7"/>
    <col min="6750" max="6750" width="4" style="7" customWidth="1"/>
    <col min="6751" max="6751" width="0" style="7" hidden="1" customWidth="1"/>
    <col min="6752" max="6752" width="39.42578125" style="7" customWidth="1"/>
    <col min="6753" max="6753" width="7.7109375" style="7" customWidth="1"/>
    <col min="6754" max="6754" width="5.85546875" style="7" customWidth="1"/>
    <col min="6755" max="6755" width="5.42578125" style="7" customWidth="1"/>
    <col min="6756" max="6760" width="0" style="7" hidden="1" customWidth="1"/>
    <col min="6761" max="6761" width="11.85546875" style="7" customWidth="1"/>
    <col min="6762" max="6762" width="10.5703125" style="7" customWidth="1"/>
    <col min="6763" max="6763" width="12.7109375" style="7" customWidth="1"/>
    <col min="6764" max="6764" width="11.7109375" style="7" customWidth="1"/>
    <col min="6765" max="6765" width="10.140625" style="7" customWidth="1"/>
    <col min="6766" max="6766" width="0.140625" style="7" customWidth="1"/>
    <col min="6767" max="6767" width="11.7109375" style="7" customWidth="1"/>
    <col min="6768" max="6768" width="10.5703125" style="7" customWidth="1"/>
    <col min="6769" max="6769" width="10" style="7" customWidth="1"/>
    <col min="6770" max="6770" width="9.85546875" style="7" customWidth="1"/>
    <col min="6771" max="6771" width="12.7109375" style="7" customWidth="1"/>
    <col min="6772" max="6772" width="8.42578125" style="7" customWidth="1"/>
    <col min="6773" max="6785" width="0" style="7" hidden="1" customWidth="1"/>
    <col min="6786" max="6786" width="10.5703125" style="7" customWidth="1"/>
    <col min="6787" max="7005" width="9.140625" style="7"/>
    <col min="7006" max="7006" width="4" style="7" customWidth="1"/>
    <col min="7007" max="7007" width="0" style="7" hidden="1" customWidth="1"/>
    <col min="7008" max="7008" width="39.42578125" style="7" customWidth="1"/>
    <col min="7009" max="7009" width="7.7109375" style="7" customWidth="1"/>
    <col min="7010" max="7010" width="5.85546875" style="7" customWidth="1"/>
    <col min="7011" max="7011" width="5.42578125" style="7" customWidth="1"/>
    <col min="7012" max="7016" width="0" style="7" hidden="1" customWidth="1"/>
    <col min="7017" max="7017" width="11.85546875" style="7" customWidth="1"/>
    <col min="7018" max="7018" width="10.5703125" style="7" customWidth="1"/>
    <col min="7019" max="7019" width="12.7109375" style="7" customWidth="1"/>
    <col min="7020" max="7020" width="11.7109375" style="7" customWidth="1"/>
    <col min="7021" max="7021" width="10.140625" style="7" customWidth="1"/>
    <col min="7022" max="7022" width="0.140625" style="7" customWidth="1"/>
    <col min="7023" max="7023" width="11.7109375" style="7" customWidth="1"/>
    <col min="7024" max="7024" width="10.5703125" style="7" customWidth="1"/>
    <col min="7025" max="7025" width="10" style="7" customWidth="1"/>
    <col min="7026" max="7026" width="9.85546875" style="7" customWidth="1"/>
    <col min="7027" max="7027" width="12.7109375" style="7" customWidth="1"/>
    <col min="7028" max="7028" width="8.42578125" style="7" customWidth="1"/>
    <col min="7029" max="7041" width="0" style="7" hidden="1" customWidth="1"/>
    <col min="7042" max="7042" width="10.5703125" style="7" customWidth="1"/>
    <col min="7043" max="7261" width="9.140625" style="7"/>
    <col min="7262" max="7262" width="4" style="7" customWidth="1"/>
    <col min="7263" max="7263" width="0" style="7" hidden="1" customWidth="1"/>
    <col min="7264" max="7264" width="39.42578125" style="7" customWidth="1"/>
    <col min="7265" max="7265" width="7.7109375" style="7" customWidth="1"/>
    <col min="7266" max="7266" width="5.85546875" style="7" customWidth="1"/>
    <col min="7267" max="7267" width="5.42578125" style="7" customWidth="1"/>
    <col min="7268" max="7272" width="0" style="7" hidden="1" customWidth="1"/>
    <col min="7273" max="7273" width="11.85546875" style="7" customWidth="1"/>
    <col min="7274" max="7274" width="10.5703125" style="7" customWidth="1"/>
    <col min="7275" max="7275" width="12.7109375" style="7" customWidth="1"/>
    <col min="7276" max="7276" width="11.7109375" style="7" customWidth="1"/>
    <col min="7277" max="7277" width="10.140625" style="7" customWidth="1"/>
    <col min="7278" max="7278" width="0.140625" style="7" customWidth="1"/>
    <col min="7279" max="7279" width="11.7109375" style="7" customWidth="1"/>
    <col min="7280" max="7280" width="10.5703125" style="7" customWidth="1"/>
    <col min="7281" max="7281" width="10" style="7" customWidth="1"/>
    <col min="7282" max="7282" width="9.85546875" style="7" customWidth="1"/>
    <col min="7283" max="7283" width="12.7109375" style="7" customWidth="1"/>
    <col min="7284" max="7284" width="8.42578125" style="7" customWidth="1"/>
    <col min="7285" max="7297" width="0" style="7" hidden="1" customWidth="1"/>
    <col min="7298" max="7298" width="10.5703125" style="7" customWidth="1"/>
    <col min="7299" max="7517" width="9.140625" style="7"/>
    <col min="7518" max="7518" width="4" style="7" customWidth="1"/>
    <col min="7519" max="7519" width="0" style="7" hidden="1" customWidth="1"/>
    <col min="7520" max="7520" width="39.42578125" style="7" customWidth="1"/>
    <col min="7521" max="7521" width="7.7109375" style="7" customWidth="1"/>
    <col min="7522" max="7522" width="5.85546875" style="7" customWidth="1"/>
    <col min="7523" max="7523" width="5.42578125" style="7" customWidth="1"/>
    <col min="7524" max="7528" width="0" style="7" hidden="1" customWidth="1"/>
    <col min="7529" max="7529" width="11.85546875" style="7" customWidth="1"/>
    <col min="7530" max="7530" width="10.5703125" style="7" customWidth="1"/>
    <col min="7531" max="7531" width="12.7109375" style="7" customWidth="1"/>
    <col min="7532" max="7532" width="11.7109375" style="7" customWidth="1"/>
    <col min="7533" max="7533" width="10.140625" style="7" customWidth="1"/>
    <col min="7534" max="7534" width="0.140625" style="7" customWidth="1"/>
    <col min="7535" max="7535" width="11.7109375" style="7" customWidth="1"/>
    <col min="7536" max="7536" width="10.5703125" style="7" customWidth="1"/>
    <col min="7537" max="7537" width="10" style="7" customWidth="1"/>
    <col min="7538" max="7538" width="9.85546875" style="7" customWidth="1"/>
    <col min="7539" max="7539" width="12.7109375" style="7" customWidth="1"/>
    <col min="7540" max="7540" width="8.42578125" style="7" customWidth="1"/>
    <col min="7541" max="7553" width="0" style="7" hidden="1" customWidth="1"/>
    <col min="7554" max="7554" width="10.5703125" style="7" customWidth="1"/>
    <col min="7555" max="7773" width="9.140625" style="7"/>
    <col min="7774" max="7774" width="4" style="7" customWidth="1"/>
    <col min="7775" max="7775" width="0" style="7" hidden="1" customWidth="1"/>
    <col min="7776" max="7776" width="39.42578125" style="7" customWidth="1"/>
    <col min="7777" max="7777" width="7.7109375" style="7" customWidth="1"/>
    <col min="7778" max="7778" width="5.85546875" style="7" customWidth="1"/>
    <col min="7779" max="7779" width="5.42578125" style="7" customWidth="1"/>
    <col min="7780" max="7784" width="0" style="7" hidden="1" customWidth="1"/>
    <col min="7785" max="7785" width="11.85546875" style="7" customWidth="1"/>
    <col min="7786" max="7786" width="10.5703125" style="7" customWidth="1"/>
    <col min="7787" max="7787" width="12.7109375" style="7" customWidth="1"/>
    <col min="7788" max="7788" width="11.7109375" style="7" customWidth="1"/>
    <col min="7789" max="7789" width="10.140625" style="7" customWidth="1"/>
    <col min="7790" max="7790" width="0.140625" style="7" customWidth="1"/>
    <col min="7791" max="7791" width="11.7109375" style="7" customWidth="1"/>
    <col min="7792" max="7792" width="10.5703125" style="7" customWidth="1"/>
    <col min="7793" max="7793" width="10" style="7" customWidth="1"/>
    <col min="7794" max="7794" width="9.85546875" style="7" customWidth="1"/>
    <col min="7795" max="7795" width="12.7109375" style="7" customWidth="1"/>
    <col min="7796" max="7796" width="8.42578125" style="7" customWidth="1"/>
    <col min="7797" max="7809" width="0" style="7" hidden="1" customWidth="1"/>
    <col min="7810" max="7810" width="10.5703125" style="7" customWidth="1"/>
    <col min="7811" max="8029" width="9.140625" style="7"/>
    <col min="8030" max="8030" width="4" style="7" customWidth="1"/>
    <col min="8031" max="8031" width="0" style="7" hidden="1" customWidth="1"/>
    <col min="8032" max="8032" width="39.42578125" style="7" customWidth="1"/>
    <col min="8033" max="8033" width="7.7109375" style="7" customWidth="1"/>
    <col min="8034" max="8034" width="5.85546875" style="7" customWidth="1"/>
    <col min="8035" max="8035" width="5.42578125" style="7" customWidth="1"/>
    <col min="8036" max="8040" width="0" style="7" hidden="1" customWidth="1"/>
    <col min="8041" max="8041" width="11.85546875" style="7" customWidth="1"/>
    <col min="8042" max="8042" width="10.5703125" style="7" customWidth="1"/>
    <col min="8043" max="8043" width="12.7109375" style="7" customWidth="1"/>
    <col min="8044" max="8044" width="11.7109375" style="7" customWidth="1"/>
    <col min="8045" max="8045" width="10.140625" style="7" customWidth="1"/>
    <col min="8046" max="8046" width="0.140625" style="7" customWidth="1"/>
    <col min="8047" max="8047" width="11.7109375" style="7" customWidth="1"/>
    <col min="8048" max="8048" width="10.5703125" style="7" customWidth="1"/>
    <col min="8049" max="8049" width="10" style="7" customWidth="1"/>
    <col min="8050" max="8050" width="9.85546875" style="7" customWidth="1"/>
    <col min="8051" max="8051" width="12.7109375" style="7" customWidth="1"/>
    <col min="8052" max="8052" width="8.42578125" style="7" customWidth="1"/>
    <col min="8053" max="8065" width="0" style="7" hidden="1" customWidth="1"/>
    <col min="8066" max="8066" width="10.5703125" style="7" customWidth="1"/>
    <col min="8067" max="8285" width="9.140625" style="7"/>
    <col min="8286" max="8286" width="4" style="7" customWidth="1"/>
    <col min="8287" max="8287" width="0" style="7" hidden="1" customWidth="1"/>
    <col min="8288" max="8288" width="39.42578125" style="7" customWidth="1"/>
    <col min="8289" max="8289" width="7.7109375" style="7" customWidth="1"/>
    <col min="8290" max="8290" width="5.85546875" style="7" customWidth="1"/>
    <col min="8291" max="8291" width="5.42578125" style="7" customWidth="1"/>
    <col min="8292" max="8296" width="0" style="7" hidden="1" customWidth="1"/>
    <col min="8297" max="8297" width="11.85546875" style="7" customWidth="1"/>
    <col min="8298" max="8298" width="10.5703125" style="7" customWidth="1"/>
    <col min="8299" max="8299" width="12.7109375" style="7" customWidth="1"/>
    <col min="8300" max="8300" width="11.7109375" style="7" customWidth="1"/>
    <col min="8301" max="8301" width="10.140625" style="7" customWidth="1"/>
    <col min="8302" max="8302" width="0.140625" style="7" customWidth="1"/>
    <col min="8303" max="8303" width="11.7109375" style="7" customWidth="1"/>
    <col min="8304" max="8304" width="10.5703125" style="7" customWidth="1"/>
    <col min="8305" max="8305" width="10" style="7" customWidth="1"/>
    <col min="8306" max="8306" width="9.85546875" style="7" customWidth="1"/>
    <col min="8307" max="8307" width="12.7109375" style="7" customWidth="1"/>
    <col min="8308" max="8308" width="8.42578125" style="7" customWidth="1"/>
    <col min="8309" max="8321" width="0" style="7" hidden="1" customWidth="1"/>
    <col min="8322" max="8322" width="10.5703125" style="7" customWidth="1"/>
    <col min="8323" max="8541" width="9.140625" style="7"/>
    <col min="8542" max="8542" width="4" style="7" customWidth="1"/>
    <col min="8543" max="8543" width="0" style="7" hidden="1" customWidth="1"/>
    <col min="8544" max="8544" width="39.42578125" style="7" customWidth="1"/>
    <col min="8545" max="8545" width="7.7109375" style="7" customWidth="1"/>
    <col min="8546" max="8546" width="5.85546875" style="7" customWidth="1"/>
    <col min="8547" max="8547" width="5.42578125" style="7" customWidth="1"/>
    <col min="8548" max="8552" width="0" style="7" hidden="1" customWidth="1"/>
    <col min="8553" max="8553" width="11.85546875" style="7" customWidth="1"/>
    <col min="8554" max="8554" width="10.5703125" style="7" customWidth="1"/>
    <col min="8555" max="8555" width="12.7109375" style="7" customWidth="1"/>
    <col min="8556" max="8556" width="11.7109375" style="7" customWidth="1"/>
    <col min="8557" max="8557" width="10.140625" style="7" customWidth="1"/>
    <col min="8558" max="8558" width="0.140625" style="7" customWidth="1"/>
    <col min="8559" max="8559" width="11.7109375" style="7" customWidth="1"/>
    <col min="8560" max="8560" width="10.5703125" style="7" customWidth="1"/>
    <col min="8561" max="8561" width="10" style="7" customWidth="1"/>
    <col min="8562" max="8562" width="9.85546875" style="7" customWidth="1"/>
    <col min="8563" max="8563" width="12.7109375" style="7" customWidth="1"/>
    <col min="8564" max="8564" width="8.42578125" style="7" customWidth="1"/>
    <col min="8565" max="8577" width="0" style="7" hidden="1" customWidth="1"/>
    <col min="8578" max="8578" width="10.5703125" style="7" customWidth="1"/>
    <col min="8579" max="8797" width="9.140625" style="7"/>
    <col min="8798" max="8798" width="4" style="7" customWidth="1"/>
    <col min="8799" max="8799" width="0" style="7" hidden="1" customWidth="1"/>
    <col min="8800" max="8800" width="39.42578125" style="7" customWidth="1"/>
    <col min="8801" max="8801" width="7.7109375" style="7" customWidth="1"/>
    <col min="8802" max="8802" width="5.85546875" style="7" customWidth="1"/>
    <col min="8803" max="8803" width="5.42578125" style="7" customWidth="1"/>
    <col min="8804" max="8808" width="0" style="7" hidden="1" customWidth="1"/>
    <col min="8809" max="8809" width="11.85546875" style="7" customWidth="1"/>
    <col min="8810" max="8810" width="10.5703125" style="7" customWidth="1"/>
    <col min="8811" max="8811" width="12.7109375" style="7" customWidth="1"/>
    <col min="8812" max="8812" width="11.7109375" style="7" customWidth="1"/>
    <col min="8813" max="8813" width="10.140625" style="7" customWidth="1"/>
    <col min="8814" max="8814" width="0.140625" style="7" customWidth="1"/>
    <col min="8815" max="8815" width="11.7109375" style="7" customWidth="1"/>
    <col min="8816" max="8816" width="10.5703125" style="7" customWidth="1"/>
    <col min="8817" max="8817" width="10" style="7" customWidth="1"/>
    <col min="8818" max="8818" width="9.85546875" style="7" customWidth="1"/>
    <col min="8819" max="8819" width="12.7109375" style="7" customWidth="1"/>
    <col min="8820" max="8820" width="8.42578125" style="7" customWidth="1"/>
    <col min="8821" max="8833" width="0" style="7" hidden="1" customWidth="1"/>
    <col min="8834" max="8834" width="10.5703125" style="7" customWidth="1"/>
    <col min="8835" max="9053" width="9.140625" style="7"/>
    <col min="9054" max="9054" width="4" style="7" customWidth="1"/>
    <col min="9055" max="9055" width="0" style="7" hidden="1" customWidth="1"/>
    <col min="9056" max="9056" width="39.42578125" style="7" customWidth="1"/>
    <col min="9057" max="9057" width="7.7109375" style="7" customWidth="1"/>
    <col min="9058" max="9058" width="5.85546875" style="7" customWidth="1"/>
    <col min="9059" max="9059" width="5.42578125" style="7" customWidth="1"/>
    <col min="9060" max="9064" width="0" style="7" hidden="1" customWidth="1"/>
    <col min="9065" max="9065" width="11.85546875" style="7" customWidth="1"/>
    <col min="9066" max="9066" width="10.5703125" style="7" customWidth="1"/>
    <col min="9067" max="9067" width="12.7109375" style="7" customWidth="1"/>
    <col min="9068" max="9068" width="11.7109375" style="7" customWidth="1"/>
    <col min="9069" max="9069" width="10.140625" style="7" customWidth="1"/>
    <col min="9070" max="9070" width="0.140625" style="7" customWidth="1"/>
    <col min="9071" max="9071" width="11.7109375" style="7" customWidth="1"/>
    <col min="9072" max="9072" width="10.5703125" style="7" customWidth="1"/>
    <col min="9073" max="9073" width="10" style="7" customWidth="1"/>
    <col min="9074" max="9074" width="9.85546875" style="7" customWidth="1"/>
    <col min="9075" max="9075" width="12.7109375" style="7" customWidth="1"/>
    <col min="9076" max="9076" width="8.42578125" style="7" customWidth="1"/>
    <col min="9077" max="9089" width="0" style="7" hidden="1" customWidth="1"/>
    <col min="9090" max="9090" width="10.5703125" style="7" customWidth="1"/>
    <col min="9091" max="9309" width="9.140625" style="7"/>
    <col min="9310" max="9310" width="4" style="7" customWidth="1"/>
    <col min="9311" max="9311" width="0" style="7" hidden="1" customWidth="1"/>
    <col min="9312" max="9312" width="39.42578125" style="7" customWidth="1"/>
    <col min="9313" max="9313" width="7.7109375" style="7" customWidth="1"/>
    <col min="9314" max="9314" width="5.85546875" style="7" customWidth="1"/>
    <col min="9315" max="9315" width="5.42578125" style="7" customWidth="1"/>
    <col min="9316" max="9320" width="0" style="7" hidden="1" customWidth="1"/>
    <col min="9321" max="9321" width="11.85546875" style="7" customWidth="1"/>
    <col min="9322" max="9322" width="10.5703125" style="7" customWidth="1"/>
    <col min="9323" max="9323" width="12.7109375" style="7" customWidth="1"/>
    <col min="9324" max="9324" width="11.7109375" style="7" customWidth="1"/>
    <col min="9325" max="9325" width="10.140625" style="7" customWidth="1"/>
    <col min="9326" max="9326" width="0.140625" style="7" customWidth="1"/>
    <col min="9327" max="9327" width="11.7109375" style="7" customWidth="1"/>
    <col min="9328" max="9328" width="10.5703125" style="7" customWidth="1"/>
    <col min="9329" max="9329" width="10" style="7" customWidth="1"/>
    <col min="9330" max="9330" width="9.85546875" style="7" customWidth="1"/>
    <col min="9331" max="9331" width="12.7109375" style="7" customWidth="1"/>
    <col min="9332" max="9332" width="8.42578125" style="7" customWidth="1"/>
    <col min="9333" max="9345" width="0" style="7" hidden="1" customWidth="1"/>
    <col min="9346" max="9346" width="10.5703125" style="7" customWidth="1"/>
    <col min="9347" max="9565" width="9.140625" style="7"/>
    <col min="9566" max="9566" width="4" style="7" customWidth="1"/>
    <col min="9567" max="9567" width="0" style="7" hidden="1" customWidth="1"/>
    <col min="9568" max="9568" width="39.42578125" style="7" customWidth="1"/>
    <col min="9569" max="9569" width="7.7109375" style="7" customWidth="1"/>
    <col min="9570" max="9570" width="5.85546875" style="7" customWidth="1"/>
    <col min="9571" max="9571" width="5.42578125" style="7" customWidth="1"/>
    <col min="9572" max="9576" width="0" style="7" hidden="1" customWidth="1"/>
    <col min="9577" max="9577" width="11.85546875" style="7" customWidth="1"/>
    <col min="9578" max="9578" width="10.5703125" style="7" customWidth="1"/>
    <col min="9579" max="9579" width="12.7109375" style="7" customWidth="1"/>
    <col min="9580" max="9580" width="11.7109375" style="7" customWidth="1"/>
    <col min="9581" max="9581" width="10.140625" style="7" customWidth="1"/>
    <col min="9582" max="9582" width="0.140625" style="7" customWidth="1"/>
    <col min="9583" max="9583" width="11.7109375" style="7" customWidth="1"/>
    <col min="9584" max="9584" width="10.5703125" style="7" customWidth="1"/>
    <col min="9585" max="9585" width="10" style="7" customWidth="1"/>
    <col min="9586" max="9586" width="9.85546875" style="7" customWidth="1"/>
    <col min="9587" max="9587" width="12.7109375" style="7" customWidth="1"/>
    <col min="9588" max="9588" width="8.42578125" style="7" customWidth="1"/>
    <col min="9589" max="9601" width="0" style="7" hidden="1" customWidth="1"/>
    <col min="9602" max="9602" width="10.5703125" style="7" customWidth="1"/>
    <col min="9603" max="9821" width="9.140625" style="7"/>
    <col min="9822" max="9822" width="4" style="7" customWidth="1"/>
    <col min="9823" max="9823" width="0" style="7" hidden="1" customWidth="1"/>
    <col min="9824" max="9824" width="39.42578125" style="7" customWidth="1"/>
    <col min="9825" max="9825" width="7.7109375" style="7" customWidth="1"/>
    <col min="9826" max="9826" width="5.85546875" style="7" customWidth="1"/>
    <col min="9827" max="9827" width="5.42578125" style="7" customWidth="1"/>
    <col min="9828" max="9832" width="0" style="7" hidden="1" customWidth="1"/>
    <col min="9833" max="9833" width="11.85546875" style="7" customWidth="1"/>
    <col min="9834" max="9834" width="10.5703125" style="7" customWidth="1"/>
    <col min="9835" max="9835" width="12.7109375" style="7" customWidth="1"/>
    <col min="9836" max="9836" width="11.7109375" style="7" customWidth="1"/>
    <col min="9837" max="9837" width="10.140625" style="7" customWidth="1"/>
    <col min="9838" max="9838" width="0.140625" style="7" customWidth="1"/>
    <col min="9839" max="9839" width="11.7109375" style="7" customWidth="1"/>
    <col min="9840" max="9840" width="10.5703125" style="7" customWidth="1"/>
    <col min="9841" max="9841" width="10" style="7" customWidth="1"/>
    <col min="9842" max="9842" width="9.85546875" style="7" customWidth="1"/>
    <col min="9843" max="9843" width="12.7109375" style="7" customWidth="1"/>
    <col min="9844" max="9844" width="8.42578125" style="7" customWidth="1"/>
    <col min="9845" max="9857" width="0" style="7" hidden="1" customWidth="1"/>
    <col min="9858" max="9858" width="10.5703125" style="7" customWidth="1"/>
    <col min="9859" max="10077" width="9.140625" style="7"/>
    <col min="10078" max="10078" width="4" style="7" customWidth="1"/>
    <col min="10079" max="10079" width="0" style="7" hidden="1" customWidth="1"/>
    <col min="10080" max="10080" width="39.42578125" style="7" customWidth="1"/>
    <col min="10081" max="10081" width="7.7109375" style="7" customWidth="1"/>
    <col min="10082" max="10082" width="5.85546875" style="7" customWidth="1"/>
    <col min="10083" max="10083" width="5.42578125" style="7" customWidth="1"/>
    <col min="10084" max="10088" width="0" style="7" hidden="1" customWidth="1"/>
    <col min="10089" max="10089" width="11.85546875" style="7" customWidth="1"/>
    <col min="10090" max="10090" width="10.5703125" style="7" customWidth="1"/>
    <col min="10091" max="10091" width="12.7109375" style="7" customWidth="1"/>
    <col min="10092" max="10092" width="11.7109375" style="7" customWidth="1"/>
    <col min="10093" max="10093" width="10.140625" style="7" customWidth="1"/>
    <col min="10094" max="10094" width="0.140625" style="7" customWidth="1"/>
    <col min="10095" max="10095" width="11.7109375" style="7" customWidth="1"/>
    <col min="10096" max="10096" width="10.5703125" style="7" customWidth="1"/>
    <col min="10097" max="10097" width="10" style="7" customWidth="1"/>
    <col min="10098" max="10098" width="9.85546875" style="7" customWidth="1"/>
    <col min="10099" max="10099" width="12.7109375" style="7" customWidth="1"/>
    <col min="10100" max="10100" width="8.42578125" style="7" customWidth="1"/>
    <col min="10101" max="10113" width="0" style="7" hidden="1" customWidth="1"/>
    <col min="10114" max="10114" width="10.5703125" style="7" customWidth="1"/>
    <col min="10115" max="10333" width="9.140625" style="7"/>
    <col min="10334" max="10334" width="4" style="7" customWidth="1"/>
    <col min="10335" max="10335" width="0" style="7" hidden="1" customWidth="1"/>
    <col min="10336" max="10336" width="39.42578125" style="7" customWidth="1"/>
    <col min="10337" max="10337" width="7.7109375" style="7" customWidth="1"/>
    <col min="10338" max="10338" width="5.85546875" style="7" customWidth="1"/>
    <col min="10339" max="10339" width="5.42578125" style="7" customWidth="1"/>
    <col min="10340" max="10344" width="0" style="7" hidden="1" customWidth="1"/>
    <col min="10345" max="10345" width="11.85546875" style="7" customWidth="1"/>
    <col min="10346" max="10346" width="10.5703125" style="7" customWidth="1"/>
    <col min="10347" max="10347" width="12.7109375" style="7" customWidth="1"/>
    <col min="10348" max="10348" width="11.7109375" style="7" customWidth="1"/>
    <col min="10349" max="10349" width="10.140625" style="7" customWidth="1"/>
    <col min="10350" max="10350" width="0.140625" style="7" customWidth="1"/>
    <col min="10351" max="10351" width="11.7109375" style="7" customWidth="1"/>
    <col min="10352" max="10352" width="10.5703125" style="7" customWidth="1"/>
    <col min="10353" max="10353" width="10" style="7" customWidth="1"/>
    <col min="10354" max="10354" width="9.85546875" style="7" customWidth="1"/>
    <col min="10355" max="10355" width="12.7109375" style="7" customWidth="1"/>
    <col min="10356" max="10356" width="8.42578125" style="7" customWidth="1"/>
    <col min="10357" max="10369" width="0" style="7" hidden="1" customWidth="1"/>
    <col min="10370" max="10370" width="10.5703125" style="7" customWidth="1"/>
    <col min="10371" max="10589" width="9.140625" style="7"/>
    <col min="10590" max="10590" width="4" style="7" customWidth="1"/>
    <col min="10591" max="10591" width="0" style="7" hidden="1" customWidth="1"/>
    <col min="10592" max="10592" width="39.42578125" style="7" customWidth="1"/>
    <col min="10593" max="10593" width="7.7109375" style="7" customWidth="1"/>
    <col min="10594" max="10594" width="5.85546875" style="7" customWidth="1"/>
    <col min="10595" max="10595" width="5.42578125" style="7" customWidth="1"/>
    <col min="10596" max="10600" width="0" style="7" hidden="1" customWidth="1"/>
    <col min="10601" max="10601" width="11.85546875" style="7" customWidth="1"/>
    <col min="10602" max="10602" width="10.5703125" style="7" customWidth="1"/>
    <col min="10603" max="10603" width="12.7109375" style="7" customWidth="1"/>
    <col min="10604" max="10604" width="11.7109375" style="7" customWidth="1"/>
    <col min="10605" max="10605" width="10.140625" style="7" customWidth="1"/>
    <col min="10606" max="10606" width="0.140625" style="7" customWidth="1"/>
    <col min="10607" max="10607" width="11.7109375" style="7" customWidth="1"/>
    <col min="10608" max="10608" width="10.5703125" style="7" customWidth="1"/>
    <col min="10609" max="10609" width="10" style="7" customWidth="1"/>
    <col min="10610" max="10610" width="9.85546875" style="7" customWidth="1"/>
    <col min="10611" max="10611" width="12.7109375" style="7" customWidth="1"/>
    <col min="10612" max="10612" width="8.42578125" style="7" customWidth="1"/>
    <col min="10613" max="10625" width="0" style="7" hidden="1" customWidth="1"/>
    <col min="10626" max="10626" width="10.5703125" style="7" customWidth="1"/>
    <col min="10627" max="10845" width="9.140625" style="7"/>
    <col min="10846" max="10846" width="4" style="7" customWidth="1"/>
    <col min="10847" max="10847" width="0" style="7" hidden="1" customWidth="1"/>
    <col min="10848" max="10848" width="39.42578125" style="7" customWidth="1"/>
    <col min="10849" max="10849" width="7.7109375" style="7" customWidth="1"/>
    <col min="10850" max="10850" width="5.85546875" style="7" customWidth="1"/>
    <col min="10851" max="10851" width="5.42578125" style="7" customWidth="1"/>
    <col min="10852" max="10856" width="0" style="7" hidden="1" customWidth="1"/>
    <col min="10857" max="10857" width="11.85546875" style="7" customWidth="1"/>
    <col min="10858" max="10858" width="10.5703125" style="7" customWidth="1"/>
    <col min="10859" max="10859" width="12.7109375" style="7" customWidth="1"/>
    <col min="10860" max="10860" width="11.7109375" style="7" customWidth="1"/>
    <col min="10861" max="10861" width="10.140625" style="7" customWidth="1"/>
    <col min="10862" max="10862" width="0.140625" style="7" customWidth="1"/>
    <col min="10863" max="10863" width="11.7109375" style="7" customWidth="1"/>
    <col min="10864" max="10864" width="10.5703125" style="7" customWidth="1"/>
    <col min="10865" max="10865" width="10" style="7" customWidth="1"/>
    <col min="10866" max="10866" width="9.85546875" style="7" customWidth="1"/>
    <col min="10867" max="10867" width="12.7109375" style="7" customWidth="1"/>
    <col min="10868" max="10868" width="8.42578125" style="7" customWidth="1"/>
    <col min="10869" max="10881" width="0" style="7" hidden="1" customWidth="1"/>
    <col min="10882" max="10882" width="10.5703125" style="7" customWidth="1"/>
    <col min="10883" max="11101" width="9.140625" style="7"/>
    <col min="11102" max="11102" width="4" style="7" customWidth="1"/>
    <col min="11103" max="11103" width="0" style="7" hidden="1" customWidth="1"/>
    <col min="11104" max="11104" width="39.42578125" style="7" customWidth="1"/>
    <col min="11105" max="11105" width="7.7109375" style="7" customWidth="1"/>
    <col min="11106" max="11106" width="5.85546875" style="7" customWidth="1"/>
    <col min="11107" max="11107" width="5.42578125" style="7" customWidth="1"/>
    <col min="11108" max="11112" width="0" style="7" hidden="1" customWidth="1"/>
    <col min="11113" max="11113" width="11.85546875" style="7" customWidth="1"/>
    <col min="11114" max="11114" width="10.5703125" style="7" customWidth="1"/>
    <col min="11115" max="11115" width="12.7109375" style="7" customWidth="1"/>
    <col min="11116" max="11116" width="11.7109375" style="7" customWidth="1"/>
    <col min="11117" max="11117" width="10.140625" style="7" customWidth="1"/>
    <col min="11118" max="11118" width="0.140625" style="7" customWidth="1"/>
    <col min="11119" max="11119" width="11.7109375" style="7" customWidth="1"/>
    <col min="11120" max="11120" width="10.5703125" style="7" customWidth="1"/>
    <col min="11121" max="11121" width="10" style="7" customWidth="1"/>
    <col min="11122" max="11122" width="9.85546875" style="7" customWidth="1"/>
    <col min="11123" max="11123" width="12.7109375" style="7" customWidth="1"/>
    <col min="11124" max="11124" width="8.42578125" style="7" customWidth="1"/>
    <col min="11125" max="11137" width="0" style="7" hidden="1" customWidth="1"/>
    <col min="11138" max="11138" width="10.5703125" style="7" customWidth="1"/>
    <col min="11139" max="11357" width="9.140625" style="7"/>
    <col min="11358" max="11358" width="4" style="7" customWidth="1"/>
    <col min="11359" max="11359" width="0" style="7" hidden="1" customWidth="1"/>
    <col min="11360" max="11360" width="39.42578125" style="7" customWidth="1"/>
    <col min="11361" max="11361" width="7.7109375" style="7" customWidth="1"/>
    <col min="11362" max="11362" width="5.85546875" style="7" customWidth="1"/>
    <col min="11363" max="11363" width="5.42578125" style="7" customWidth="1"/>
    <col min="11364" max="11368" width="0" style="7" hidden="1" customWidth="1"/>
    <col min="11369" max="11369" width="11.85546875" style="7" customWidth="1"/>
    <col min="11370" max="11370" width="10.5703125" style="7" customWidth="1"/>
    <col min="11371" max="11371" width="12.7109375" style="7" customWidth="1"/>
    <col min="11372" max="11372" width="11.7109375" style="7" customWidth="1"/>
    <col min="11373" max="11373" width="10.140625" style="7" customWidth="1"/>
    <col min="11374" max="11374" width="0.140625" style="7" customWidth="1"/>
    <col min="11375" max="11375" width="11.7109375" style="7" customWidth="1"/>
    <col min="11376" max="11376" width="10.5703125" style="7" customWidth="1"/>
    <col min="11377" max="11377" width="10" style="7" customWidth="1"/>
    <col min="11378" max="11378" width="9.85546875" style="7" customWidth="1"/>
    <col min="11379" max="11379" width="12.7109375" style="7" customWidth="1"/>
    <col min="11380" max="11380" width="8.42578125" style="7" customWidth="1"/>
    <col min="11381" max="11393" width="0" style="7" hidden="1" customWidth="1"/>
    <col min="11394" max="11394" width="10.5703125" style="7" customWidth="1"/>
    <col min="11395" max="11613" width="9.140625" style="7"/>
    <col min="11614" max="11614" width="4" style="7" customWidth="1"/>
    <col min="11615" max="11615" width="0" style="7" hidden="1" customWidth="1"/>
    <col min="11616" max="11616" width="39.42578125" style="7" customWidth="1"/>
    <col min="11617" max="11617" width="7.7109375" style="7" customWidth="1"/>
    <col min="11618" max="11618" width="5.85546875" style="7" customWidth="1"/>
    <col min="11619" max="11619" width="5.42578125" style="7" customWidth="1"/>
    <col min="11620" max="11624" width="0" style="7" hidden="1" customWidth="1"/>
    <col min="11625" max="11625" width="11.85546875" style="7" customWidth="1"/>
    <col min="11626" max="11626" width="10.5703125" style="7" customWidth="1"/>
    <col min="11627" max="11627" width="12.7109375" style="7" customWidth="1"/>
    <col min="11628" max="11628" width="11.7109375" style="7" customWidth="1"/>
    <col min="11629" max="11629" width="10.140625" style="7" customWidth="1"/>
    <col min="11630" max="11630" width="0.140625" style="7" customWidth="1"/>
    <col min="11631" max="11631" width="11.7109375" style="7" customWidth="1"/>
    <col min="11632" max="11632" width="10.5703125" style="7" customWidth="1"/>
    <col min="11633" max="11633" width="10" style="7" customWidth="1"/>
    <col min="11634" max="11634" width="9.85546875" style="7" customWidth="1"/>
    <col min="11635" max="11635" width="12.7109375" style="7" customWidth="1"/>
    <col min="11636" max="11636" width="8.42578125" style="7" customWidth="1"/>
    <col min="11637" max="11649" width="0" style="7" hidden="1" customWidth="1"/>
    <col min="11650" max="11650" width="10.5703125" style="7" customWidth="1"/>
    <col min="11651" max="11869" width="9.140625" style="7"/>
    <col min="11870" max="11870" width="4" style="7" customWidth="1"/>
    <col min="11871" max="11871" width="0" style="7" hidden="1" customWidth="1"/>
    <col min="11872" max="11872" width="39.42578125" style="7" customWidth="1"/>
    <col min="11873" max="11873" width="7.7109375" style="7" customWidth="1"/>
    <col min="11874" max="11874" width="5.85546875" style="7" customWidth="1"/>
    <col min="11875" max="11875" width="5.42578125" style="7" customWidth="1"/>
    <col min="11876" max="11880" width="0" style="7" hidden="1" customWidth="1"/>
    <col min="11881" max="11881" width="11.85546875" style="7" customWidth="1"/>
    <col min="11882" max="11882" width="10.5703125" style="7" customWidth="1"/>
    <col min="11883" max="11883" width="12.7109375" style="7" customWidth="1"/>
    <col min="11884" max="11884" width="11.7109375" style="7" customWidth="1"/>
    <col min="11885" max="11885" width="10.140625" style="7" customWidth="1"/>
    <col min="11886" max="11886" width="0.140625" style="7" customWidth="1"/>
    <col min="11887" max="11887" width="11.7109375" style="7" customWidth="1"/>
    <col min="11888" max="11888" width="10.5703125" style="7" customWidth="1"/>
    <col min="11889" max="11889" width="10" style="7" customWidth="1"/>
    <col min="11890" max="11890" width="9.85546875" style="7" customWidth="1"/>
    <col min="11891" max="11891" width="12.7109375" style="7" customWidth="1"/>
    <col min="11892" max="11892" width="8.42578125" style="7" customWidth="1"/>
    <col min="11893" max="11905" width="0" style="7" hidden="1" customWidth="1"/>
    <col min="11906" max="11906" width="10.5703125" style="7" customWidth="1"/>
    <col min="11907" max="12125" width="9.140625" style="7"/>
    <col min="12126" max="12126" width="4" style="7" customWidth="1"/>
    <col min="12127" max="12127" width="0" style="7" hidden="1" customWidth="1"/>
    <col min="12128" max="12128" width="39.42578125" style="7" customWidth="1"/>
    <col min="12129" max="12129" width="7.7109375" style="7" customWidth="1"/>
    <col min="12130" max="12130" width="5.85546875" style="7" customWidth="1"/>
    <col min="12131" max="12131" width="5.42578125" style="7" customWidth="1"/>
    <col min="12132" max="12136" width="0" style="7" hidden="1" customWidth="1"/>
    <col min="12137" max="12137" width="11.85546875" style="7" customWidth="1"/>
    <col min="12138" max="12138" width="10.5703125" style="7" customWidth="1"/>
    <col min="12139" max="12139" width="12.7109375" style="7" customWidth="1"/>
    <col min="12140" max="12140" width="11.7109375" style="7" customWidth="1"/>
    <col min="12141" max="12141" width="10.140625" style="7" customWidth="1"/>
    <col min="12142" max="12142" width="0.140625" style="7" customWidth="1"/>
    <col min="12143" max="12143" width="11.7109375" style="7" customWidth="1"/>
    <col min="12144" max="12144" width="10.5703125" style="7" customWidth="1"/>
    <col min="12145" max="12145" width="10" style="7" customWidth="1"/>
    <col min="12146" max="12146" width="9.85546875" style="7" customWidth="1"/>
    <col min="12147" max="12147" width="12.7109375" style="7" customWidth="1"/>
    <col min="12148" max="12148" width="8.42578125" style="7" customWidth="1"/>
    <col min="12149" max="12161" width="0" style="7" hidden="1" customWidth="1"/>
    <col min="12162" max="12162" width="10.5703125" style="7" customWidth="1"/>
    <col min="12163" max="12381" width="9.140625" style="7"/>
    <col min="12382" max="12382" width="4" style="7" customWidth="1"/>
    <col min="12383" max="12383" width="0" style="7" hidden="1" customWidth="1"/>
    <col min="12384" max="12384" width="39.42578125" style="7" customWidth="1"/>
    <col min="12385" max="12385" width="7.7109375" style="7" customWidth="1"/>
    <col min="12386" max="12386" width="5.85546875" style="7" customWidth="1"/>
    <col min="12387" max="12387" width="5.42578125" style="7" customWidth="1"/>
    <col min="12388" max="12392" width="0" style="7" hidden="1" customWidth="1"/>
    <col min="12393" max="12393" width="11.85546875" style="7" customWidth="1"/>
    <col min="12394" max="12394" width="10.5703125" style="7" customWidth="1"/>
    <col min="12395" max="12395" width="12.7109375" style="7" customWidth="1"/>
    <col min="12396" max="12396" width="11.7109375" style="7" customWidth="1"/>
    <col min="12397" max="12397" width="10.140625" style="7" customWidth="1"/>
    <col min="12398" max="12398" width="0.140625" style="7" customWidth="1"/>
    <col min="12399" max="12399" width="11.7109375" style="7" customWidth="1"/>
    <col min="12400" max="12400" width="10.5703125" style="7" customWidth="1"/>
    <col min="12401" max="12401" width="10" style="7" customWidth="1"/>
    <col min="12402" max="12402" width="9.85546875" style="7" customWidth="1"/>
    <col min="12403" max="12403" width="12.7109375" style="7" customWidth="1"/>
    <col min="12404" max="12404" width="8.42578125" style="7" customWidth="1"/>
    <col min="12405" max="12417" width="0" style="7" hidden="1" customWidth="1"/>
    <col min="12418" max="12418" width="10.5703125" style="7" customWidth="1"/>
    <col min="12419" max="12637" width="9.140625" style="7"/>
    <col min="12638" max="12638" width="4" style="7" customWidth="1"/>
    <col min="12639" max="12639" width="0" style="7" hidden="1" customWidth="1"/>
    <col min="12640" max="12640" width="39.42578125" style="7" customWidth="1"/>
    <col min="12641" max="12641" width="7.7109375" style="7" customWidth="1"/>
    <col min="12642" max="12642" width="5.85546875" style="7" customWidth="1"/>
    <col min="12643" max="12643" width="5.42578125" style="7" customWidth="1"/>
    <col min="12644" max="12648" width="0" style="7" hidden="1" customWidth="1"/>
    <col min="12649" max="12649" width="11.85546875" style="7" customWidth="1"/>
    <col min="12650" max="12650" width="10.5703125" style="7" customWidth="1"/>
    <col min="12651" max="12651" width="12.7109375" style="7" customWidth="1"/>
    <col min="12652" max="12652" width="11.7109375" style="7" customWidth="1"/>
    <col min="12653" max="12653" width="10.140625" style="7" customWidth="1"/>
    <col min="12654" max="12654" width="0.140625" style="7" customWidth="1"/>
    <col min="12655" max="12655" width="11.7109375" style="7" customWidth="1"/>
    <col min="12656" max="12656" width="10.5703125" style="7" customWidth="1"/>
    <col min="12657" max="12657" width="10" style="7" customWidth="1"/>
    <col min="12658" max="12658" width="9.85546875" style="7" customWidth="1"/>
    <col min="12659" max="12659" width="12.7109375" style="7" customWidth="1"/>
    <col min="12660" max="12660" width="8.42578125" style="7" customWidth="1"/>
    <col min="12661" max="12673" width="0" style="7" hidden="1" customWidth="1"/>
    <col min="12674" max="12674" width="10.5703125" style="7" customWidth="1"/>
    <col min="12675" max="12893" width="9.140625" style="7"/>
    <col min="12894" max="12894" width="4" style="7" customWidth="1"/>
    <col min="12895" max="12895" width="0" style="7" hidden="1" customWidth="1"/>
    <col min="12896" max="12896" width="39.42578125" style="7" customWidth="1"/>
    <col min="12897" max="12897" width="7.7109375" style="7" customWidth="1"/>
    <col min="12898" max="12898" width="5.85546875" style="7" customWidth="1"/>
    <col min="12899" max="12899" width="5.42578125" style="7" customWidth="1"/>
    <col min="12900" max="12904" width="0" style="7" hidden="1" customWidth="1"/>
    <col min="12905" max="12905" width="11.85546875" style="7" customWidth="1"/>
    <col min="12906" max="12906" width="10.5703125" style="7" customWidth="1"/>
    <col min="12907" max="12907" width="12.7109375" style="7" customWidth="1"/>
    <col min="12908" max="12908" width="11.7109375" style="7" customWidth="1"/>
    <col min="12909" max="12909" width="10.140625" style="7" customWidth="1"/>
    <col min="12910" max="12910" width="0.140625" style="7" customWidth="1"/>
    <col min="12911" max="12911" width="11.7109375" style="7" customWidth="1"/>
    <col min="12912" max="12912" width="10.5703125" style="7" customWidth="1"/>
    <col min="12913" max="12913" width="10" style="7" customWidth="1"/>
    <col min="12914" max="12914" width="9.85546875" style="7" customWidth="1"/>
    <col min="12915" max="12915" width="12.7109375" style="7" customWidth="1"/>
    <col min="12916" max="12916" width="8.42578125" style="7" customWidth="1"/>
    <col min="12917" max="12929" width="0" style="7" hidden="1" customWidth="1"/>
    <col min="12930" max="12930" width="10.5703125" style="7" customWidth="1"/>
    <col min="12931" max="13149" width="9.140625" style="7"/>
    <col min="13150" max="13150" width="4" style="7" customWidth="1"/>
    <col min="13151" max="13151" width="0" style="7" hidden="1" customWidth="1"/>
    <col min="13152" max="13152" width="39.42578125" style="7" customWidth="1"/>
    <col min="13153" max="13153" width="7.7109375" style="7" customWidth="1"/>
    <col min="13154" max="13154" width="5.85546875" style="7" customWidth="1"/>
    <col min="13155" max="13155" width="5.42578125" style="7" customWidth="1"/>
    <col min="13156" max="13160" width="0" style="7" hidden="1" customWidth="1"/>
    <col min="13161" max="13161" width="11.85546875" style="7" customWidth="1"/>
    <col min="13162" max="13162" width="10.5703125" style="7" customWidth="1"/>
    <col min="13163" max="13163" width="12.7109375" style="7" customWidth="1"/>
    <col min="13164" max="13164" width="11.7109375" style="7" customWidth="1"/>
    <col min="13165" max="13165" width="10.140625" style="7" customWidth="1"/>
    <col min="13166" max="13166" width="0.140625" style="7" customWidth="1"/>
    <col min="13167" max="13167" width="11.7109375" style="7" customWidth="1"/>
    <col min="13168" max="13168" width="10.5703125" style="7" customWidth="1"/>
    <col min="13169" max="13169" width="10" style="7" customWidth="1"/>
    <col min="13170" max="13170" width="9.85546875" style="7" customWidth="1"/>
    <col min="13171" max="13171" width="12.7109375" style="7" customWidth="1"/>
    <col min="13172" max="13172" width="8.42578125" style="7" customWidth="1"/>
    <col min="13173" max="13185" width="0" style="7" hidden="1" customWidth="1"/>
    <col min="13186" max="13186" width="10.5703125" style="7" customWidth="1"/>
    <col min="13187" max="13405" width="9.140625" style="7"/>
    <col min="13406" max="13406" width="4" style="7" customWidth="1"/>
    <col min="13407" max="13407" width="0" style="7" hidden="1" customWidth="1"/>
    <col min="13408" max="13408" width="39.42578125" style="7" customWidth="1"/>
    <col min="13409" max="13409" width="7.7109375" style="7" customWidth="1"/>
    <col min="13410" max="13410" width="5.85546875" style="7" customWidth="1"/>
    <col min="13411" max="13411" width="5.42578125" style="7" customWidth="1"/>
    <col min="13412" max="13416" width="0" style="7" hidden="1" customWidth="1"/>
    <col min="13417" max="13417" width="11.85546875" style="7" customWidth="1"/>
    <col min="13418" max="13418" width="10.5703125" style="7" customWidth="1"/>
    <col min="13419" max="13419" width="12.7109375" style="7" customWidth="1"/>
    <col min="13420" max="13420" width="11.7109375" style="7" customWidth="1"/>
    <col min="13421" max="13421" width="10.140625" style="7" customWidth="1"/>
    <col min="13422" max="13422" width="0.140625" style="7" customWidth="1"/>
    <col min="13423" max="13423" width="11.7109375" style="7" customWidth="1"/>
    <col min="13424" max="13424" width="10.5703125" style="7" customWidth="1"/>
    <col min="13425" max="13425" width="10" style="7" customWidth="1"/>
    <col min="13426" max="13426" width="9.85546875" style="7" customWidth="1"/>
    <col min="13427" max="13427" width="12.7109375" style="7" customWidth="1"/>
    <col min="13428" max="13428" width="8.42578125" style="7" customWidth="1"/>
    <col min="13429" max="13441" width="0" style="7" hidden="1" customWidth="1"/>
    <col min="13442" max="13442" width="10.5703125" style="7" customWidth="1"/>
    <col min="13443" max="13661" width="9.140625" style="7"/>
    <col min="13662" max="13662" width="4" style="7" customWidth="1"/>
    <col min="13663" max="13663" width="0" style="7" hidden="1" customWidth="1"/>
    <col min="13664" max="13664" width="39.42578125" style="7" customWidth="1"/>
    <col min="13665" max="13665" width="7.7109375" style="7" customWidth="1"/>
    <col min="13666" max="13666" width="5.85546875" style="7" customWidth="1"/>
    <col min="13667" max="13667" width="5.42578125" style="7" customWidth="1"/>
    <col min="13668" max="13672" width="0" style="7" hidden="1" customWidth="1"/>
    <col min="13673" max="13673" width="11.85546875" style="7" customWidth="1"/>
    <col min="13674" max="13674" width="10.5703125" style="7" customWidth="1"/>
    <col min="13675" max="13675" width="12.7109375" style="7" customWidth="1"/>
    <col min="13676" max="13676" width="11.7109375" style="7" customWidth="1"/>
    <col min="13677" max="13677" width="10.140625" style="7" customWidth="1"/>
    <col min="13678" max="13678" width="0.140625" style="7" customWidth="1"/>
    <col min="13679" max="13679" width="11.7109375" style="7" customWidth="1"/>
    <col min="13680" max="13680" width="10.5703125" style="7" customWidth="1"/>
    <col min="13681" max="13681" width="10" style="7" customWidth="1"/>
    <col min="13682" max="13682" width="9.85546875" style="7" customWidth="1"/>
    <col min="13683" max="13683" width="12.7109375" style="7" customWidth="1"/>
    <col min="13684" max="13684" width="8.42578125" style="7" customWidth="1"/>
    <col min="13685" max="13697" width="0" style="7" hidden="1" customWidth="1"/>
    <col min="13698" max="13698" width="10.5703125" style="7" customWidth="1"/>
    <col min="13699" max="13917" width="9.140625" style="7"/>
    <col min="13918" max="13918" width="4" style="7" customWidth="1"/>
    <col min="13919" max="13919" width="0" style="7" hidden="1" customWidth="1"/>
    <col min="13920" max="13920" width="39.42578125" style="7" customWidth="1"/>
    <col min="13921" max="13921" width="7.7109375" style="7" customWidth="1"/>
    <col min="13922" max="13922" width="5.85546875" style="7" customWidth="1"/>
    <col min="13923" max="13923" width="5.42578125" style="7" customWidth="1"/>
    <col min="13924" max="13928" width="0" style="7" hidden="1" customWidth="1"/>
    <col min="13929" max="13929" width="11.85546875" style="7" customWidth="1"/>
    <col min="13930" max="13930" width="10.5703125" style="7" customWidth="1"/>
    <col min="13931" max="13931" width="12.7109375" style="7" customWidth="1"/>
    <col min="13932" max="13932" width="11.7109375" style="7" customWidth="1"/>
    <col min="13933" max="13933" width="10.140625" style="7" customWidth="1"/>
    <col min="13934" max="13934" width="0.140625" style="7" customWidth="1"/>
    <col min="13935" max="13935" width="11.7109375" style="7" customWidth="1"/>
    <col min="13936" max="13936" width="10.5703125" style="7" customWidth="1"/>
    <col min="13937" max="13937" width="10" style="7" customWidth="1"/>
    <col min="13938" max="13938" width="9.85546875" style="7" customWidth="1"/>
    <col min="13939" max="13939" width="12.7109375" style="7" customWidth="1"/>
    <col min="13940" max="13940" width="8.42578125" style="7" customWidth="1"/>
    <col min="13941" max="13953" width="0" style="7" hidden="1" customWidth="1"/>
    <col min="13954" max="13954" width="10.5703125" style="7" customWidth="1"/>
    <col min="13955" max="14173" width="9.140625" style="7"/>
    <col min="14174" max="14174" width="4" style="7" customWidth="1"/>
    <col min="14175" max="14175" width="0" style="7" hidden="1" customWidth="1"/>
    <col min="14176" max="14176" width="39.42578125" style="7" customWidth="1"/>
    <col min="14177" max="14177" width="7.7109375" style="7" customWidth="1"/>
    <col min="14178" max="14178" width="5.85546875" style="7" customWidth="1"/>
    <col min="14179" max="14179" width="5.42578125" style="7" customWidth="1"/>
    <col min="14180" max="14184" width="0" style="7" hidden="1" customWidth="1"/>
    <col min="14185" max="14185" width="11.85546875" style="7" customWidth="1"/>
    <col min="14186" max="14186" width="10.5703125" style="7" customWidth="1"/>
    <col min="14187" max="14187" width="12.7109375" style="7" customWidth="1"/>
    <col min="14188" max="14188" width="11.7109375" style="7" customWidth="1"/>
    <col min="14189" max="14189" width="10.140625" style="7" customWidth="1"/>
    <col min="14190" max="14190" width="0.140625" style="7" customWidth="1"/>
    <col min="14191" max="14191" width="11.7109375" style="7" customWidth="1"/>
    <col min="14192" max="14192" width="10.5703125" style="7" customWidth="1"/>
    <col min="14193" max="14193" width="10" style="7" customWidth="1"/>
    <col min="14194" max="14194" width="9.85546875" style="7" customWidth="1"/>
    <col min="14195" max="14195" width="12.7109375" style="7" customWidth="1"/>
    <col min="14196" max="14196" width="8.42578125" style="7" customWidth="1"/>
    <col min="14197" max="14209" width="0" style="7" hidden="1" customWidth="1"/>
    <col min="14210" max="14210" width="10.5703125" style="7" customWidth="1"/>
    <col min="14211" max="14429" width="9.140625" style="7"/>
    <col min="14430" max="14430" width="4" style="7" customWidth="1"/>
    <col min="14431" max="14431" width="0" style="7" hidden="1" customWidth="1"/>
    <col min="14432" max="14432" width="39.42578125" style="7" customWidth="1"/>
    <col min="14433" max="14433" width="7.7109375" style="7" customWidth="1"/>
    <col min="14434" max="14434" width="5.85546875" style="7" customWidth="1"/>
    <col min="14435" max="14435" width="5.42578125" style="7" customWidth="1"/>
    <col min="14436" max="14440" width="0" style="7" hidden="1" customWidth="1"/>
    <col min="14441" max="14441" width="11.85546875" style="7" customWidth="1"/>
    <col min="14442" max="14442" width="10.5703125" style="7" customWidth="1"/>
    <col min="14443" max="14443" width="12.7109375" style="7" customWidth="1"/>
    <col min="14444" max="14444" width="11.7109375" style="7" customWidth="1"/>
    <col min="14445" max="14445" width="10.140625" style="7" customWidth="1"/>
    <col min="14446" max="14446" width="0.140625" style="7" customWidth="1"/>
    <col min="14447" max="14447" width="11.7109375" style="7" customWidth="1"/>
    <col min="14448" max="14448" width="10.5703125" style="7" customWidth="1"/>
    <col min="14449" max="14449" width="10" style="7" customWidth="1"/>
    <col min="14450" max="14450" width="9.85546875" style="7" customWidth="1"/>
    <col min="14451" max="14451" width="12.7109375" style="7" customWidth="1"/>
    <col min="14452" max="14452" width="8.42578125" style="7" customWidth="1"/>
    <col min="14453" max="14465" width="0" style="7" hidden="1" customWidth="1"/>
    <col min="14466" max="14466" width="10.5703125" style="7" customWidth="1"/>
    <col min="14467" max="14685" width="9.140625" style="7"/>
    <col min="14686" max="14686" width="4" style="7" customWidth="1"/>
    <col min="14687" max="14687" width="0" style="7" hidden="1" customWidth="1"/>
    <col min="14688" max="14688" width="39.42578125" style="7" customWidth="1"/>
    <col min="14689" max="14689" width="7.7109375" style="7" customWidth="1"/>
    <col min="14690" max="14690" width="5.85546875" style="7" customWidth="1"/>
    <col min="14691" max="14691" width="5.42578125" style="7" customWidth="1"/>
    <col min="14692" max="14696" width="0" style="7" hidden="1" customWidth="1"/>
    <col min="14697" max="14697" width="11.85546875" style="7" customWidth="1"/>
    <col min="14698" max="14698" width="10.5703125" style="7" customWidth="1"/>
    <col min="14699" max="14699" width="12.7109375" style="7" customWidth="1"/>
    <col min="14700" max="14700" width="11.7109375" style="7" customWidth="1"/>
    <col min="14701" max="14701" width="10.140625" style="7" customWidth="1"/>
    <col min="14702" max="14702" width="0.140625" style="7" customWidth="1"/>
    <col min="14703" max="14703" width="11.7109375" style="7" customWidth="1"/>
    <col min="14704" max="14704" width="10.5703125" style="7" customWidth="1"/>
    <col min="14705" max="14705" width="10" style="7" customWidth="1"/>
    <col min="14706" max="14706" width="9.85546875" style="7" customWidth="1"/>
    <col min="14707" max="14707" width="12.7109375" style="7" customWidth="1"/>
    <col min="14708" max="14708" width="8.42578125" style="7" customWidth="1"/>
    <col min="14709" max="14721" width="0" style="7" hidden="1" customWidth="1"/>
    <col min="14722" max="14722" width="10.5703125" style="7" customWidth="1"/>
    <col min="14723" max="14941" width="9.140625" style="7"/>
    <col min="14942" max="14942" width="4" style="7" customWidth="1"/>
    <col min="14943" max="14943" width="0" style="7" hidden="1" customWidth="1"/>
    <col min="14944" max="14944" width="39.42578125" style="7" customWidth="1"/>
    <col min="14945" max="14945" width="7.7109375" style="7" customWidth="1"/>
    <col min="14946" max="14946" width="5.85546875" style="7" customWidth="1"/>
    <col min="14947" max="14947" width="5.42578125" style="7" customWidth="1"/>
    <col min="14948" max="14952" width="0" style="7" hidden="1" customWidth="1"/>
    <col min="14953" max="14953" width="11.85546875" style="7" customWidth="1"/>
    <col min="14954" max="14954" width="10.5703125" style="7" customWidth="1"/>
    <col min="14955" max="14955" width="12.7109375" style="7" customWidth="1"/>
    <col min="14956" max="14956" width="11.7109375" style="7" customWidth="1"/>
    <col min="14957" max="14957" width="10.140625" style="7" customWidth="1"/>
    <col min="14958" max="14958" width="0.140625" style="7" customWidth="1"/>
    <col min="14959" max="14959" width="11.7109375" style="7" customWidth="1"/>
    <col min="14960" max="14960" width="10.5703125" style="7" customWidth="1"/>
    <col min="14961" max="14961" width="10" style="7" customWidth="1"/>
    <col min="14962" max="14962" width="9.85546875" style="7" customWidth="1"/>
    <col min="14963" max="14963" width="12.7109375" style="7" customWidth="1"/>
    <col min="14964" max="14964" width="8.42578125" style="7" customWidth="1"/>
    <col min="14965" max="14977" width="0" style="7" hidden="1" customWidth="1"/>
    <col min="14978" max="14978" width="10.5703125" style="7" customWidth="1"/>
    <col min="14979" max="15197" width="9.140625" style="7"/>
    <col min="15198" max="15198" width="4" style="7" customWidth="1"/>
    <col min="15199" max="15199" width="0" style="7" hidden="1" customWidth="1"/>
    <col min="15200" max="15200" width="39.42578125" style="7" customWidth="1"/>
    <col min="15201" max="15201" width="7.7109375" style="7" customWidth="1"/>
    <col min="15202" max="15202" width="5.85546875" style="7" customWidth="1"/>
    <col min="15203" max="15203" width="5.42578125" style="7" customWidth="1"/>
    <col min="15204" max="15208" width="0" style="7" hidden="1" customWidth="1"/>
    <col min="15209" max="15209" width="11.85546875" style="7" customWidth="1"/>
    <col min="15210" max="15210" width="10.5703125" style="7" customWidth="1"/>
    <col min="15211" max="15211" width="12.7109375" style="7" customWidth="1"/>
    <col min="15212" max="15212" width="11.7109375" style="7" customWidth="1"/>
    <col min="15213" max="15213" width="10.140625" style="7" customWidth="1"/>
    <col min="15214" max="15214" width="0.140625" style="7" customWidth="1"/>
    <col min="15215" max="15215" width="11.7109375" style="7" customWidth="1"/>
    <col min="15216" max="15216" width="10.5703125" style="7" customWidth="1"/>
    <col min="15217" max="15217" width="10" style="7" customWidth="1"/>
    <col min="15218" max="15218" width="9.85546875" style="7" customWidth="1"/>
    <col min="15219" max="15219" width="12.7109375" style="7" customWidth="1"/>
    <col min="15220" max="15220" width="8.42578125" style="7" customWidth="1"/>
    <col min="15221" max="15233" width="0" style="7" hidden="1" customWidth="1"/>
    <col min="15234" max="15234" width="10.5703125" style="7" customWidth="1"/>
    <col min="15235" max="16384" width="9.140625" style="7"/>
  </cols>
  <sheetData>
    <row r="1" spans="1:34" s="1" customFormat="1" ht="36" customHeight="1" x14ac:dyDescent="0.3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</row>
    <row r="2" spans="1:34" ht="15" customHeight="1" x14ac:dyDescent="0.25">
      <c r="A2" s="200"/>
      <c r="B2" s="202" t="s">
        <v>1</v>
      </c>
      <c r="C2" s="204" t="s">
        <v>2</v>
      </c>
      <c r="D2" s="204" t="s">
        <v>3</v>
      </c>
      <c r="E2" s="204" t="s">
        <v>4</v>
      </c>
      <c r="F2" s="206" t="s">
        <v>5</v>
      </c>
      <c r="G2" s="2"/>
      <c r="H2" s="208" t="s">
        <v>6</v>
      </c>
      <c r="I2" s="210" t="s">
        <v>7</v>
      </c>
      <c r="J2" s="212" t="s">
        <v>8</v>
      </c>
      <c r="K2" s="3"/>
      <c r="L2" s="212" t="s">
        <v>9</v>
      </c>
      <c r="M2" s="212" t="s">
        <v>10</v>
      </c>
      <c r="N2" s="212" t="s">
        <v>11</v>
      </c>
      <c r="O2" s="204" t="s">
        <v>12</v>
      </c>
      <c r="P2" s="204"/>
      <c r="Q2" s="204"/>
      <c r="R2" s="204"/>
      <c r="S2" s="4"/>
      <c r="T2" s="215" t="s">
        <v>13</v>
      </c>
      <c r="U2" s="216"/>
      <c r="V2" s="216"/>
      <c r="W2" s="217"/>
      <c r="X2" s="228"/>
      <c r="Y2" s="220" t="s">
        <v>14</v>
      </c>
      <c r="Z2" s="222" t="s">
        <v>15</v>
      </c>
      <c r="AA2" s="222" t="s">
        <v>16</v>
      </c>
      <c r="AB2" s="222" t="s">
        <v>17</v>
      </c>
      <c r="AC2" s="224" t="s">
        <v>18</v>
      </c>
      <c r="AD2" s="226"/>
      <c r="AE2" s="5"/>
      <c r="AF2" s="5"/>
      <c r="AG2" s="6"/>
      <c r="AH2" s="218" t="s">
        <v>19</v>
      </c>
    </row>
    <row r="3" spans="1:34" ht="126.75" customHeight="1" thickBot="1" x14ac:dyDescent="0.3">
      <c r="A3" s="201"/>
      <c r="B3" s="203"/>
      <c r="C3" s="205"/>
      <c r="D3" s="205"/>
      <c r="E3" s="205"/>
      <c r="F3" s="207"/>
      <c r="G3" s="8" t="s">
        <v>20</v>
      </c>
      <c r="H3" s="209"/>
      <c r="I3" s="211"/>
      <c r="J3" s="213"/>
      <c r="K3" s="3" t="s">
        <v>8</v>
      </c>
      <c r="L3" s="213"/>
      <c r="M3" s="214"/>
      <c r="N3" s="213"/>
      <c r="O3" s="9" t="s">
        <v>11</v>
      </c>
      <c r="P3" s="10" t="s">
        <v>21</v>
      </c>
      <c r="Q3" s="10" t="s">
        <v>22</v>
      </c>
      <c r="R3" s="11" t="s">
        <v>23</v>
      </c>
      <c r="S3" s="12" t="s">
        <v>24</v>
      </c>
      <c r="T3" s="13" t="s">
        <v>25</v>
      </c>
      <c r="U3" s="14" t="s">
        <v>2</v>
      </c>
      <c r="V3" s="14" t="s">
        <v>3</v>
      </c>
      <c r="W3" s="14" t="s">
        <v>4</v>
      </c>
      <c r="X3" s="229"/>
      <c r="Y3" s="221"/>
      <c r="Z3" s="223"/>
      <c r="AA3" s="223"/>
      <c r="AB3" s="223"/>
      <c r="AC3" s="225"/>
      <c r="AD3" s="227"/>
      <c r="AH3" s="218"/>
    </row>
    <row r="4" spans="1:34" ht="16.5" customHeight="1" thickBot="1" x14ac:dyDescent="0.35">
      <c r="A4" s="16"/>
      <c r="B4" s="17"/>
      <c r="C4" s="18"/>
      <c r="D4" s="18"/>
      <c r="E4" s="18"/>
      <c r="F4" s="19"/>
      <c r="G4" s="17"/>
      <c r="H4" s="20">
        <v>1</v>
      </c>
      <c r="I4" s="21"/>
      <c r="J4" s="22"/>
      <c r="K4" s="23"/>
      <c r="L4" s="22"/>
      <c r="M4" s="22"/>
      <c r="N4" s="22">
        <v>2</v>
      </c>
      <c r="O4" s="22">
        <v>2</v>
      </c>
      <c r="P4" s="24"/>
      <c r="Q4" s="22"/>
      <c r="R4" s="22"/>
      <c r="S4" s="25">
        <v>3</v>
      </c>
      <c r="T4" s="19"/>
      <c r="U4" s="26"/>
      <c r="V4" s="27"/>
      <c r="W4" s="27"/>
      <c r="X4" s="28"/>
      <c r="Y4" s="29"/>
      <c r="Z4" s="30"/>
      <c r="AA4" s="30"/>
      <c r="AB4" s="30"/>
      <c r="AC4" s="31"/>
      <c r="AD4" s="32"/>
      <c r="AH4" s="33"/>
    </row>
    <row r="5" spans="1:34" x14ac:dyDescent="0.3">
      <c r="A5" s="75">
        <v>1</v>
      </c>
      <c r="B5" s="34" t="s">
        <v>26</v>
      </c>
      <c r="C5" s="34" t="s">
        <v>27</v>
      </c>
      <c r="D5" s="35" t="s">
        <v>28</v>
      </c>
      <c r="E5" s="35" t="s">
        <v>29</v>
      </c>
      <c r="F5" s="36" t="s">
        <v>30</v>
      </c>
      <c r="G5" s="37" t="s">
        <v>31</v>
      </c>
      <c r="H5" s="38">
        <f t="shared" ref="H5:H68" si="0">O5+S5</f>
        <v>5988.1100000000006</v>
      </c>
      <c r="I5" s="39"/>
      <c r="J5" s="40">
        <f>4541.35+46.64+15.52</f>
        <v>4603.5100000000011</v>
      </c>
      <c r="K5" s="41">
        <f>I5+J5</f>
        <v>4603.5100000000011</v>
      </c>
      <c r="L5" s="42">
        <v>798.9</v>
      </c>
      <c r="M5" s="42">
        <v>110.3</v>
      </c>
      <c r="N5" s="40">
        <v>696</v>
      </c>
      <c r="O5" s="43">
        <f t="shared" ref="O5:O68" si="1">P5+Q5+R5</f>
        <v>585.70000000000005</v>
      </c>
      <c r="P5" s="40">
        <v>575</v>
      </c>
      <c r="Q5" s="40"/>
      <c r="R5" s="40">
        <v>10.7</v>
      </c>
      <c r="S5" s="44">
        <f t="shared" ref="S5:S68" si="2">J5+L5+I5</f>
        <v>5402.4100000000008</v>
      </c>
      <c r="T5" s="35" t="s">
        <v>32</v>
      </c>
      <c r="U5" s="45" t="s">
        <v>33</v>
      </c>
      <c r="V5" s="46" t="s">
        <v>28</v>
      </c>
      <c r="W5" s="46" t="s">
        <v>29</v>
      </c>
      <c r="X5" s="45" t="s">
        <v>29</v>
      </c>
      <c r="Y5" s="47" t="e">
        <f>#REF!-H5</f>
        <v>#REF!</v>
      </c>
      <c r="Z5" s="48" t="e">
        <f>#REF!-J5</f>
        <v>#REF!</v>
      </c>
      <c r="AA5" s="49" t="e">
        <f>#REF!-L5</f>
        <v>#REF!</v>
      </c>
      <c r="AB5" s="48" t="e">
        <f>#REF!-N5</f>
        <v>#REF!</v>
      </c>
      <c r="AC5" s="47" t="e">
        <f>(#REF!+#REF!)-S5</f>
        <v>#REF!</v>
      </c>
      <c r="AD5" s="50" t="e">
        <f>AC5/(#REF!+#REF!)*100</f>
        <v>#REF!</v>
      </c>
      <c r="AH5" s="33" t="s">
        <v>34</v>
      </c>
    </row>
    <row r="6" spans="1:34" s="69" customFormat="1" x14ac:dyDescent="0.3">
      <c r="A6" s="101">
        <v>2</v>
      </c>
      <c r="B6" s="51" t="s">
        <v>35</v>
      </c>
      <c r="C6" s="51" t="s">
        <v>27</v>
      </c>
      <c r="D6" s="52" t="s">
        <v>36</v>
      </c>
      <c r="E6" s="52" t="s">
        <v>37</v>
      </c>
      <c r="F6" s="53" t="s">
        <v>30</v>
      </c>
      <c r="G6" s="54" t="s">
        <v>31</v>
      </c>
      <c r="H6" s="55">
        <f t="shared" si="0"/>
        <v>18288.650000000001</v>
      </c>
      <c r="I6" s="56">
        <v>20.92</v>
      </c>
      <c r="J6" s="57">
        <f>12970.53</f>
        <v>12970.53</v>
      </c>
      <c r="K6" s="58">
        <f t="shared" ref="K6:K69" si="3">I6+J6</f>
        <v>12991.45</v>
      </c>
      <c r="L6" s="59">
        <v>3082.4</v>
      </c>
      <c r="M6" s="59">
        <v>115.8</v>
      </c>
      <c r="N6" s="57"/>
      <c r="O6" s="60">
        <f t="shared" si="1"/>
        <v>2214.8000000000002</v>
      </c>
      <c r="P6" s="57">
        <v>1733.8</v>
      </c>
      <c r="Q6" s="57">
        <v>28.8</v>
      </c>
      <c r="R6" s="57">
        <f>502.48-50.28</f>
        <v>452.20000000000005</v>
      </c>
      <c r="S6" s="61">
        <f t="shared" si="2"/>
        <v>16073.85</v>
      </c>
      <c r="T6" s="52" t="s">
        <v>38</v>
      </c>
      <c r="U6" s="51"/>
      <c r="V6" s="52"/>
      <c r="W6" s="52"/>
      <c r="X6" s="51"/>
      <c r="Y6" s="62"/>
      <c r="Z6" s="63"/>
      <c r="AA6" s="64"/>
      <c r="AB6" s="63"/>
      <c r="AC6" s="62"/>
      <c r="AD6" s="65"/>
      <c r="AE6" s="66"/>
      <c r="AF6" s="66"/>
      <c r="AG6" s="67"/>
      <c r="AH6" s="68" t="s">
        <v>39</v>
      </c>
    </row>
    <row r="7" spans="1:34" ht="18" customHeight="1" x14ac:dyDescent="0.3">
      <c r="A7" s="75">
        <v>3</v>
      </c>
      <c r="B7" s="34" t="s">
        <v>26</v>
      </c>
      <c r="C7" s="34" t="s">
        <v>27</v>
      </c>
      <c r="D7" s="35" t="s">
        <v>40</v>
      </c>
      <c r="E7" s="35" t="s">
        <v>29</v>
      </c>
      <c r="F7" s="36" t="s">
        <v>30</v>
      </c>
      <c r="G7" s="37" t="s">
        <v>31</v>
      </c>
      <c r="H7" s="38">
        <f t="shared" si="0"/>
        <v>6442.47</v>
      </c>
      <c r="I7" s="39"/>
      <c r="J7" s="40">
        <v>4639.87</v>
      </c>
      <c r="K7" s="41">
        <f t="shared" si="3"/>
        <v>4639.87</v>
      </c>
      <c r="L7" s="42">
        <v>879.5</v>
      </c>
      <c r="M7" s="42"/>
      <c r="N7" s="42">
        <v>923.1</v>
      </c>
      <c r="O7" s="43">
        <f t="shared" si="1"/>
        <v>923.1</v>
      </c>
      <c r="P7" s="42">
        <v>877</v>
      </c>
      <c r="Q7" s="42"/>
      <c r="R7" s="42">
        <v>46.1</v>
      </c>
      <c r="S7" s="44">
        <f t="shared" si="2"/>
        <v>5519.37</v>
      </c>
      <c r="T7" s="35" t="s">
        <v>41</v>
      </c>
      <c r="U7" s="70" t="s">
        <v>33</v>
      </c>
      <c r="V7" s="71" t="s">
        <v>40</v>
      </c>
      <c r="W7" s="71" t="s">
        <v>29</v>
      </c>
      <c r="X7" s="70" t="s">
        <v>29</v>
      </c>
      <c r="Y7" s="72" t="e">
        <f>#REF!-H7</f>
        <v>#REF!</v>
      </c>
      <c r="Z7" s="73" t="e">
        <f>#REF!-J7</f>
        <v>#REF!</v>
      </c>
      <c r="AA7" s="74" t="e">
        <f>#REF!-L7</f>
        <v>#REF!</v>
      </c>
      <c r="AB7" s="73" t="e">
        <f>#REF!-N7</f>
        <v>#REF!</v>
      </c>
      <c r="AC7" s="72" t="e">
        <f>(#REF!+#REF!)-S7</f>
        <v>#REF!</v>
      </c>
      <c r="AD7" s="50" t="e">
        <f>AC7/(#REF!+#REF!)*100</f>
        <v>#REF!</v>
      </c>
      <c r="AH7" s="33" t="s">
        <v>34</v>
      </c>
    </row>
    <row r="8" spans="1:34" ht="18.75" customHeight="1" x14ac:dyDescent="0.3">
      <c r="A8" s="75">
        <v>4</v>
      </c>
      <c r="B8" s="34" t="s">
        <v>26</v>
      </c>
      <c r="C8" s="34" t="s">
        <v>27</v>
      </c>
      <c r="D8" s="35" t="s">
        <v>40</v>
      </c>
      <c r="E8" s="35" t="s">
        <v>42</v>
      </c>
      <c r="F8" s="36" t="s">
        <v>43</v>
      </c>
      <c r="G8" s="37" t="s">
        <v>31</v>
      </c>
      <c r="H8" s="38">
        <f t="shared" si="0"/>
        <v>3071.92</v>
      </c>
      <c r="I8" s="39"/>
      <c r="J8" s="40">
        <v>2088.62</v>
      </c>
      <c r="K8" s="41">
        <f t="shared" si="3"/>
        <v>2088.62</v>
      </c>
      <c r="L8" s="42">
        <f>466+69.4</f>
        <v>535.4</v>
      </c>
      <c r="M8" s="42"/>
      <c r="N8" s="42">
        <v>447.9</v>
      </c>
      <c r="O8" s="43">
        <f t="shared" si="1"/>
        <v>447.9</v>
      </c>
      <c r="P8" s="42">
        <v>419</v>
      </c>
      <c r="Q8" s="42"/>
      <c r="R8" s="42">
        <v>28.9</v>
      </c>
      <c r="S8" s="44">
        <f t="shared" si="2"/>
        <v>2624.02</v>
      </c>
      <c r="T8" s="35" t="s">
        <v>44</v>
      </c>
      <c r="U8" s="70" t="s">
        <v>33</v>
      </c>
      <c r="V8" s="71" t="s">
        <v>40</v>
      </c>
      <c r="W8" s="71" t="s">
        <v>29</v>
      </c>
      <c r="X8" s="70" t="s">
        <v>29</v>
      </c>
      <c r="Y8" s="72" t="e">
        <f>#REF!-H8</f>
        <v>#REF!</v>
      </c>
      <c r="Z8" s="73" t="e">
        <f>#REF!-J8</f>
        <v>#REF!</v>
      </c>
      <c r="AA8" s="74" t="e">
        <f>#REF!-L8</f>
        <v>#REF!</v>
      </c>
      <c r="AB8" s="73" t="e">
        <f>#REF!-N8</f>
        <v>#REF!</v>
      </c>
      <c r="AC8" s="72" t="e">
        <f>(#REF!+#REF!)-S8</f>
        <v>#REF!</v>
      </c>
      <c r="AD8" s="50" t="e">
        <f>AC8/(#REF!+#REF!)*100</f>
        <v>#REF!</v>
      </c>
      <c r="AH8" s="33" t="s">
        <v>34</v>
      </c>
    </row>
    <row r="9" spans="1:34" x14ac:dyDescent="0.3">
      <c r="A9" s="101">
        <v>5</v>
      </c>
      <c r="B9" s="34" t="s">
        <v>26</v>
      </c>
      <c r="C9" s="34" t="s">
        <v>27</v>
      </c>
      <c r="D9" s="35" t="s">
        <v>45</v>
      </c>
      <c r="E9" s="35" t="s">
        <v>29</v>
      </c>
      <c r="F9" s="36" t="s">
        <v>30</v>
      </c>
      <c r="G9" s="37"/>
      <c r="H9" s="38">
        <f t="shared" si="0"/>
        <v>7495.8499999999995</v>
      </c>
      <c r="I9" s="39"/>
      <c r="J9" s="40">
        <v>5049.12</v>
      </c>
      <c r="K9" s="41">
        <f t="shared" si="3"/>
        <v>5049.12</v>
      </c>
      <c r="L9" s="42">
        <f>1411.53-1</f>
        <v>1410.53</v>
      </c>
      <c r="M9" s="42">
        <v>233.4</v>
      </c>
      <c r="N9" s="42">
        <v>1582.9</v>
      </c>
      <c r="O9" s="43">
        <f t="shared" si="1"/>
        <v>1036.2</v>
      </c>
      <c r="P9" s="42">
        <v>1006.3</v>
      </c>
      <c r="Q9" s="42">
        <v>29.9</v>
      </c>
      <c r="R9" s="42"/>
      <c r="S9" s="44">
        <f t="shared" si="2"/>
        <v>6459.65</v>
      </c>
      <c r="T9" s="35" t="s">
        <v>46</v>
      </c>
      <c r="U9" s="70" t="s">
        <v>33</v>
      </c>
      <c r="V9" s="71" t="s">
        <v>45</v>
      </c>
      <c r="W9" s="71" t="s">
        <v>29</v>
      </c>
      <c r="X9" s="70" t="s">
        <v>29</v>
      </c>
      <c r="Y9" s="72" t="e">
        <f>#REF!-H9</f>
        <v>#REF!</v>
      </c>
      <c r="Z9" s="73" t="e">
        <f>#REF!-J9</f>
        <v>#REF!</v>
      </c>
      <c r="AA9" s="74" t="e">
        <f>#REF!-L9</f>
        <v>#REF!</v>
      </c>
      <c r="AB9" s="73" t="e">
        <f>#REF!-N9</f>
        <v>#REF!</v>
      </c>
      <c r="AC9" s="72" t="e">
        <f>(#REF!+#REF!)-S9</f>
        <v>#REF!</v>
      </c>
      <c r="AD9" s="50" t="e">
        <f>AC9/(#REF!+#REF!)*100</f>
        <v>#REF!</v>
      </c>
      <c r="AH9" s="33" t="s">
        <v>34</v>
      </c>
    </row>
    <row r="10" spans="1:34" x14ac:dyDescent="0.3">
      <c r="A10" s="75">
        <v>6</v>
      </c>
      <c r="B10" s="34" t="s">
        <v>26</v>
      </c>
      <c r="C10" s="34" t="s">
        <v>27</v>
      </c>
      <c r="D10" s="35" t="s">
        <v>47</v>
      </c>
      <c r="E10" s="35" t="s">
        <v>29</v>
      </c>
      <c r="F10" s="36" t="s">
        <v>30</v>
      </c>
      <c r="G10" s="37" t="s">
        <v>31</v>
      </c>
      <c r="H10" s="38">
        <f t="shared" si="0"/>
        <v>5730.98</v>
      </c>
      <c r="I10" s="39"/>
      <c r="J10" s="40">
        <v>4483.08</v>
      </c>
      <c r="K10" s="41">
        <f t="shared" si="3"/>
        <v>4483.08</v>
      </c>
      <c r="L10" s="42">
        <f>423.9+158.3</f>
        <v>582.20000000000005</v>
      </c>
      <c r="M10" s="42"/>
      <c r="N10" s="42">
        <v>521.20000000000005</v>
      </c>
      <c r="O10" s="43">
        <f t="shared" si="1"/>
        <v>665.7</v>
      </c>
      <c r="P10" s="42">
        <v>584</v>
      </c>
      <c r="Q10" s="42">
        <v>37.200000000000003</v>
      </c>
      <c r="R10" s="42">
        <v>44.5</v>
      </c>
      <c r="S10" s="44">
        <f t="shared" si="2"/>
        <v>5065.28</v>
      </c>
      <c r="T10" s="35" t="s">
        <v>48</v>
      </c>
      <c r="U10" s="70" t="s">
        <v>33</v>
      </c>
      <c r="V10" s="71" t="s">
        <v>47</v>
      </c>
      <c r="W10" s="71" t="s">
        <v>29</v>
      </c>
      <c r="X10" s="70" t="s">
        <v>29</v>
      </c>
      <c r="Y10" s="72" t="e">
        <f>#REF!-H10</f>
        <v>#REF!</v>
      </c>
      <c r="Z10" s="73" t="e">
        <f>#REF!-J10</f>
        <v>#REF!</v>
      </c>
      <c r="AA10" s="74" t="e">
        <f>#REF!-L10</f>
        <v>#REF!</v>
      </c>
      <c r="AB10" s="73" t="e">
        <f>#REF!-N10</f>
        <v>#REF!</v>
      </c>
      <c r="AC10" s="72" t="e">
        <f>(#REF!+#REF!)-S10</f>
        <v>#REF!</v>
      </c>
      <c r="AD10" s="50" t="e">
        <f>AC10/(#REF!+#REF!)*100</f>
        <v>#REF!</v>
      </c>
      <c r="AH10" s="33" t="s">
        <v>34</v>
      </c>
    </row>
    <row r="11" spans="1:34" s="69" customFormat="1" x14ac:dyDescent="0.3">
      <c r="A11" s="75">
        <v>7</v>
      </c>
      <c r="B11" s="34" t="s">
        <v>26</v>
      </c>
      <c r="C11" s="34" t="s">
        <v>27</v>
      </c>
      <c r="D11" s="35" t="s">
        <v>49</v>
      </c>
      <c r="E11" s="35" t="s">
        <v>29</v>
      </c>
      <c r="F11" s="36" t="s">
        <v>30</v>
      </c>
      <c r="G11" s="37" t="s">
        <v>31</v>
      </c>
      <c r="H11" s="38">
        <f t="shared" si="0"/>
        <v>3551.6699999999996</v>
      </c>
      <c r="I11" s="39">
        <v>43.06</v>
      </c>
      <c r="J11" s="40">
        <v>2277.41</v>
      </c>
      <c r="K11" s="41">
        <f t="shared" si="3"/>
        <v>2320.4699999999998</v>
      </c>
      <c r="L11" s="42">
        <v>820.2</v>
      </c>
      <c r="M11" s="42"/>
      <c r="N11" s="42">
        <v>518.20000000000005</v>
      </c>
      <c r="O11" s="43">
        <f t="shared" si="1"/>
        <v>411</v>
      </c>
      <c r="P11" s="42">
        <v>391.8</v>
      </c>
      <c r="Q11" s="42">
        <v>19.2</v>
      </c>
      <c r="R11" s="42"/>
      <c r="S11" s="76">
        <f t="shared" si="2"/>
        <v>3140.6699999999996</v>
      </c>
      <c r="T11" s="35" t="s">
        <v>50</v>
      </c>
      <c r="U11" s="34" t="s">
        <v>33</v>
      </c>
      <c r="V11" s="35" t="s">
        <v>49</v>
      </c>
      <c r="W11" s="35" t="s">
        <v>29</v>
      </c>
      <c r="X11" s="34" t="s">
        <v>29</v>
      </c>
      <c r="Y11" s="77" t="e">
        <f>#REF!-H11</f>
        <v>#REF!</v>
      </c>
      <c r="Z11" s="78" t="e">
        <f>#REF!-J11</f>
        <v>#REF!</v>
      </c>
      <c r="AA11" s="79" t="e">
        <f>#REF!-L11</f>
        <v>#REF!</v>
      </c>
      <c r="AB11" s="78" t="e">
        <f>#REF!-N11</f>
        <v>#REF!</v>
      </c>
      <c r="AC11" s="77" t="e">
        <f>(#REF!+#REF!)-S11</f>
        <v>#REF!</v>
      </c>
      <c r="AD11" s="80" t="e">
        <f>AC11/(#REF!+#REF!)*100</f>
        <v>#REF!</v>
      </c>
      <c r="AG11" s="81"/>
      <c r="AH11" s="33" t="s">
        <v>34</v>
      </c>
    </row>
    <row r="12" spans="1:34" x14ac:dyDescent="0.3">
      <c r="A12" s="101">
        <v>8</v>
      </c>
      <c r="B12" s="34" t="s">
        <v>26</v>
      </c>
      <c r="C12" s="34" t="s">
        <v>27</v>
      </c>
      <c r="D12" s="35" t="s">
        <v>51</v>
      </c>
      <c r="E12" s="35" t="s">
        <v>29</v>
      </c>
      <c r="F12" s="36" t="s">
        <v>30</v>
      </c>
      <c r="G12" s="37" t="s">
        <v>31</v>
      </c>
      <c r="H12" s="38">
        <f t="shared" si="0"/>
        <v>1935.54</v>
      </c>
      <c r="I12" s="39"/>
      <c r="J12" s="40">
        <v>1288.8399999999999</v>
      </c>
      <c r="K12" s="41">
        <f t="shared" si="3"/>
        <v>1288.8399999999999</v>
      </c>
      <c r="L12" s="42">
        <v>386.8</v>
      </c>
      <c r="M12" s="42"/>
      <c r="N12" s="42">
        <v>296.2</v>
      </c>
      <c r="O12" s="43">
        <f t="shared" si="1"/>
        <v>259.89999999999998</v>
      </c>
      <c r="P12" s="42">
        <v>220.5</v>
      </c>
      <c r="Q12" s="42">
        <v>39.4</v>
      </c>
      <c r="R12" s="42"/>
      <c r="S12" s="44">
        <f t="shared" si="2"/>
        <v>1675.6399999999999</v>
      </c>
      <c r="T12" s="35" t="s">
        <v>52</v>
      </c>
      <c r="U12" s="70" t="s">
        <v>33</v>
      </c>
      <c r="V12" s="71" t="s">
        <v>51</v>
      </c>
      <c r="W12" s="71" t="s">
        <v>29</v>
      </c>
      <c r="X12" s="70" t="s">
        <v>29</v>
      </c>
      <c r="Y12" s="72" t="e">
        <f>#REF!-H12</f>
        <v>#REF!</v>
      </c>
      <c r="Z12" s="73" t="e">
        <f>#REF!-J12</f>
        <v>#REF!</v>
      </c>
      <c r="AA12" s="74" t="e">
        <f>#REF!-L12</f>
        <v>#REF!</v>
      </c>
      <c r="AB12" s="73" t="e">
        <f>#REF!-N12</f>
        <v>#REF!</v>
      </c>
      <c r="AC12" s="72" t="e">
        <f>(#REF!+#REF!)-S12</f>
        <v>#REF!</v>
      </c>
      <c r="AD12" s="50" t="e">
        <f>AC12/(#REF!+#REF!)*100</f>
        <v>#REF!</v>
      </c>
      <c r="AH12" s="33" t="s">
        <v>34</v>
      </c>
    </row>
    <row r="13" spans="1:34" x14ac:dyDescent="0.3">
      <c r="A13" s="75">
        <v>9</v>
      </c>
      <c r="B13" s="34" t="s">
        <v>26</v>
      </c>
      <c r="C13" s="34" t="s">
        <v>27</v>
      </c>
      <c r="D13" s="35" t="s">
        <v>53</v>
      </c>
      <c r="E13" s="35" t="s">
        <v>29</v>
      </c>
      <c r="F13" s="36" t="s">
        <v>43</v>
      </c>
      <c r="G13" s="37" t="s">
        <v>31</v>
      </c>
      <c r="H13" s="38">
        <f t="shared" si="0"/>
        <v>1593.62</v>
      </c>
      <c r="I13" s="39"/>
      <c r="J13" s="40">
        <v>1297.1199999999999</v>
      </c>
      <c r="K13" s="41">
        <f t="shared" si="3"/>
        <v>1297.1199999999999</v>
      </c>
      <c r="L13" s="42">
        <v>154.30000000000001</v>
      </c>
      <c r="M13" s="42"/>
      <c r="N13" s="42">
        <v>142.19999999999999</v>
      </c>
      <c r="O13" s="43">
        <f t="shared" si="1"/>
        <v>142.19999999999999</v>
      </c>
      <c r="P13" s="42">
        <v>128</v>
      </c>
      <c r="Q13" s="42">
        <v>14.2</v>
      </c>
      <c r="R13" s="42"/>
      <c r="S13" s="44">
        <f t="shared" si="2"/>
        <v>1451.4199999999998</v>
      </c>
      <c r="T13" s="35" t="s">
        <v>54</v>
      </c>
      <c r="U13" s="70" t="s">
        <v>33</v>
      </c>
      <c r="V13" s="71" t="s">
        <v>53</v>
      </c>
      <c r="W13" s="71" t="s">
        <v>29</v>
      </c>
      <c r="X13" s="70" t="s">
        <v>29</v>
      </c>
      <c r="Y13" s="72" t="e">
        <f>#REF!-H13</f>
        <v>#REF!</v>
      </c>
      <c r="Z13" s="73" t="e">
        <f>#REF!-J13</f>
        <v>#REF!</v>
      </c>
      <c r="AA13" s="74" t="e">
        <f>#REF!-L13</f>
        <v>#REF!</v>
      </c>
      <c r="AB13" s="73" t="e">
        <f>#REF!-N13</f>
        <v>#REF!</v>
      </c>
      <c r="AC13" s="72" t="e">
        <f>(#REF!+#REF!)-S13</f>
        <v>#REF!</v>
      </c>
      <c r="AD13" s="50" t="e">
        <f>AC13/(#REF!+#REF!)*100</f>
        <v>#REF!</v>
      </c>
      <c r="AH13" s="33" t="s">
        <v>34</v>
      </c>
    </row>
    <row r="14" spans="1:34" s="69" customFormat="1" ht="24" customHeight="1" x14ac:dyDescent="0.3">
      <c r="A14" s="75">
        <v>10</v>
      </c>
      <c r="B14" s="82" t="s">
        <v>26</v>
      </c>
      <c r="C14" s="82" t="s">
        <v>27</v>
      </c>
      <c r="D14" s="83" t="s">
        <v>55</v>
      </c>
      <c r="E14" s="83" t="s">
        <v>29</v>
      </c>
      <c r="F14" s="84" t="s">
        <v>56</v>
      </c>
      <c r="G14" s="85" t="s">
        <v>31</v>
      </c>
      <c r="H14" s="86">
        <f t="shared" si="0"/>
        <v>3899.21</v>
      </c>
      <c r="I14" s="87"/>
      <c r="J14" s="88">
        <v>3107.51</v>
      </c>
      <c r="K14" s="89">
        <f t="shared" si="3"/>
        <v>3107.51</v>
      </c>
      <c r="L14" s="90">
        <f>293.1-71.1</f>
        <v>222.00000000000003</v>
      </c>
      <c r="M14" s="90"/>
      <c r="N14" s="90">
        <f>320.36-22.6</f>
        <v>297.76</v>
      </c>
      <c r="O14" s="91">
        <f t="shared" si="1"/>
        <v>569.70000000000005</v>
      </c>
      <c r="P14" s="90">
        <v>533</v>
      </c>
      <c r="Q14" s="90">
        <v>22.7</v>
      </c>
      <c r="R14" s="90">
        <v>14</v>
      </c>
      <c r="S14" s="92">
        <f t="shared" si="2"/>
        <v>3329.51</v>
      </c>
      <c r="T14" s="93" t="s">
        <v>57</v>
      </c>
      <c r="U14" s="82" t="s">
        <v>33</v>
      </c>
      <c r="V14" s="83" t="s">
        <v>55</v>
      </c>
      <c r="W14" s="83" t="s">
        <v>29</v>
      </c>
      <c r="X14" s="82" t="s">
        <v>29</v>
      </c>
      <c r="Y14" s="94" t="e">
        <f>#REF!-H14</f>
        <v>#REF!</v>
      </c>
      <c r="Z14" s="95" t="e">
        <f>#REF!-J14</f>
        <v>#REF!</v>
      </c>
      <c r="AA14" s="96" t="e">
        <f>#REF!-L14</f>
        <v>#REF!</v>
      </c>
      <c r="AB14" s="95" t="e">
        <f>#REF!-N14</f>
        <v>#REF!</v>
      </c>
      <c r="AC14" s="94" t="e">
        <f>(#REF!+#REF!)-S14</f>
        <v>#REF!</v>
      </c>
      <c r="AD14" s="97" t="e">
        <f>AC14/(#REF!+#REF!)*100</f>
        <v>#REF!</v>
      </c>
      <c r="AE14" s="98">
        <f>N14/747.1</f>
        <v>0.39855441038682904</v>
      </c>
      <c r="AF14" s="98"/>
      <c r="AG14" s="99"/>
      <c r="AH14" s="100" t="s">
        <v>58</v>
      </c>
    </row>
    <row r="15" spans="1:34" x14ac:dyDescent="0.3">
      <c r="A15" s="75">
        <v>11</v>
      </c>
      <c r="B15" s="34" t="s">
        <v>26</v>
      </c>
      <c r="C15" s="34" t="s">
        <v>27</v>
      </c>
      <c r="D15" s="35" t="s">
        <v>59</v>
      </c>
      <c r="E15" s="35" t="s">
        <v>29</v>
      </c>
      <c r="F15" s="36" t="s">
        <v>30</v>
      </c>
      <c r="G15" s="37" t="s">
        <v>31</v>
      </c>
      <c r="H15" s="38">
        <f t="shared" si="0"/>
        <v>1612.41</v>
      </c>
      <c r="I15" s="39">
        <v>0</v>
      </c>
      <c r="J15" s="40">
        <f>1258.98+18.03</f>
        <v>1277.01</v>
      </c>
      <c r="K15" s="41">
        <f t="shared" si="3"/>
        <v>1277.01</v>
      </c>
      <c r="L15" s="42">
        <f>178.9-3.5</f>
        <v>175.4</v>
      </c>
      <c r="M15" s="42"/>
      <c r="N15" s="42">
        <v>162.6</v>
      </c>
      <c r="O15" s="43">
        <f t="shared" si="1"/>
        <v>160</v>
      </c>
      <c r="P15" s="42">
        <v>160</v>
      </c>
      <c r="Q15" s="42"/>
      <c r="R15" s="42"/>
      <c r="S15" s="44">
        <f t="shared" si="2"/>
        <v>1452.41</v>
      </c>
      <c r="T15" s="35" t="s">
        <v>60</v>
      </c>
      <c r="U15" s="70" t="s">
        <v>33</v>
      </c>
      <c r="V15" s="71" t="s">
        <v>59</v>
      </c>
      <c r="W15" s="71" t="s">
        <v>29</v>
      </c>
      <c r="X15" s="70" t="s">
        <v>29</v>
      </c>
      <c r="Y15" s="72" t="e">
        <f>#REF!-H15</f>
        <v>#REF!</v>
      </c>
      <c r="Z15" s="73" t="e">
        <f>#REF!-J15</f>
        <v>#REF!</v>
      </c>
      <c r="AA15" s="74" t="e">
        <f>#REF!-L15</f>
        <v>#REF!</v>
      </c>
      <c r="AB15" s="73" t="e">
        <f>#REF!-N15</f>
        <v>#REF!</v>
      </c>
      <c r="AC15" s="72" t="e">
        <f>(#REF!+#REF!)-S15</f>
        <v>#REF!</v>
      </c>
      <c r="AD15" s="50" t="e">
        <f>AC15/(#REF!+#REF!)*100</f>
        <v>#REF!</v>
      </c>
      <c r="AH15" s="33" t="s">
        <v>34</v>
      </c>
    </row>
    <row r="16" spans="1:34" x14ac:dyDescent="0.3">
      <c r="A16" s="101">
        <v>12</v>
      </c>
      <c r="B16" s="34" t="s">
        <v>26</v>
      </c>
      <c r="C16" s="34" t="s">
        <v>27</v>
      </c>
      <c r="D16" s="35" t="s">
        <v>59</v>
      </c>
      <c r="E16" s="35" t="s">
        <v>29</v>
      </c>
      <c r="F16" s="36" t="s">
        <v>43</v>
      </c>
      <c r="G16" s="37" t="s">
        <v>31</v>
      </c>
      <c r="H16" s="38">
        <f t="shared" si="0"/>
        <v>1498.3000000000002</v>
      </c>
      <c r="I16" s="39">
        <v>0</v>
      </c>
      <c r="J16" s="40">
        <f>1141.9+56.7</f>
        <v>1198.6000000000001</v>
      </c>
      <c r="K16" s="41">
        <f t="shared" si="3"/>
        <v>1198.6000000000001</v>
      </c>
      <c r="L16" s="42">
        <v>141.69999999999999</v>
      </c>
      <c r="M16" s="42"/>
      <c r="N16" s="42">
        <v>168.8</v>
      </c>
      <c r="O16" s="43">
        <f t="shared" si="1"/>
        <v>158</v>
      </c>
      <c r="P16" s="42">
        <v>158</v>
      </c>
      <c r="Q16" s="42"/>
      <c r="R16" s="42"/>
      <c r="S16" s="44">
        <f t="shared" si="2"/>
        <v>1340.3000000000002</v>
      </c>
      <c r="T16" s="35" t="s">
        <v>61</v>
      </c>
      <c r="U16" s="70" t="s">
        <v>33</v>
      </c>
      <c r="V16" s="71" t="s">
        <v>59</v>
      </c>
      <c r="W16" s="71" t="s">
        <v>29</v>
      </c>
      <c r="X16" s="70" t="s">
        <v>29</v>
      </c>
      <c r="Y16" s="72" t="e">
        <f>#REF!-H16</f>
        <v>#REF!</v>
      </c>
      <c r="Z16" s="73" t="e">
        <f>#REF!-J16</f>
        <v>#REF!</v>
      </c>
      <c r="AA16" s="74" t="e">
        <f>#REF!-L16</f>
        <v>#REF!</v>
      </c>
      <c r="AB16" s="73" t="e">
        <f>#REF!-N16</f>
        <v>#REF!</v>
      </c>
      <c r="AC16" s="72" t="e">
        <f>(#REF!+#REF!)-S16</f>
        <v>#REF!</v>
      </c>
      <c r="AD16" s="50" t="e">
        <f>AC16/(#REF!+#REF!)*100</f>
        <v>#REF!</v>
      </c>
      <c r="AH16" s="33" t="s">
        <v>34</v>
      </c>
    </row>
    <row r="17" spans="1:34" x14ac:dyDescent="0.3">
      <c r="A17" s="75">
        <v>13</v>
      </c>
      <c r="B17" s="34" t="s">
        <v>26</v>
      </c>
      <c r="C17" s="34" t="s">
        <v>27</v>
      </c>
      <c r="D17" s="35" t="s">
        <v>62</v>
      </c>
      <c r="E17" s="35" t="s">
        <v>29</v>
      </c>
      <c r="F17" s="36" t="s">
        <v>30</v>
      </c>
      <c r="G17" s="37" t="s">
        <v>31</v>
      </c>
      <c r="H17" s="38">
        <f t="shared" si="0"/>
        <v>5093.93</v>
      </c>
      <c r="I17" s="39">
        <f>118.38-24.84</f>
        <v>93.539999999999992</v>
      </c>
      <c r="J17" s="40">
        <f>4305.39+24.84+0.26</f>
        <v>4330.4900000000007</v>
      </c>
      <c r="K17" s="41">
        <f t="shared" si="3"/>
        <v>4424.0300000000007</v>
      </c>
      <c r="L17" s="42">
        <v>0</v>
      </c>
      <c r="M17" s="42"/>
      <c r="N17" s="40">
        <v>669.9</v>
      </c>
      <c r="O17" s="43">
        <f t="shared" si="1"/>
        <v>669.9</v>
      </c>
      <c r="P17" s="40">
        <v>661</v>
      </c>
      <c r="Q17" s="40">
        <v>8.9</v>
      </c>
      <c r="R17" s="40"/>
      <c r="S17" s="44">
        <f t="shared" si="2"/>
        <v>4424.0300000000007</v>
      </c>
      <c r="T17" s="35" t="s">
        <v>63</v>
      </c>
      <c r="U17" s="70" t="s">
        <v>33</v>
      </c>
      <c r="V17" s="71" t="s">
        <v>62</v>
      </c>
      <c r="W17" s="71" t="s">
        <v>29</v>
      </c>
      <c r="X17" s="70" t="s">
        <v>29</v>
      </c>
      <c r="Y17" s="72" t="e">
        <f>#REF!-H17</f>
        <v>#REF!</v>
      </c>
      <c r="Z17" s="73" t="e">
        <f>#REF!-J17</f>
        <v>#REF!</v>
      </c>
      <c r="AA17" s="74" t="e">
        <f>#REF!-L17</f>
        <v>#REF!</v>
      </c>
      <c r="AB17" s="73" t="e">
        <f>#REF!-N17</f>
        <v>#REF!</v>
      </c>
      <c r="AC17" s="72" t="e">
        <f>(#REF!+#REF!)-S17</f>
        <v>#REF!</v>
      </c>
      <c r="AD17" s="50" t="e">
        <f>AC17/(#REF!+#REF!)*100</f>
        <v>#REF!</v>
      </c>
      <c r="AH17" s="33" t="s">
        <v>34</v>
      </c>
    </row>
    <row r="18" spans="1:34" x14ac:dyDescent="0.3">
      <c r="A18" s="75">
        <v>14</v>
      </c>
      <c r="B18" s="34" t="s">
        <v>26</v>
      </c>
      <c r="C18" s="34" t="s">
        <v>64</v>
      </c>
      <c r="D18" s="35" t="s">
        <v>65</v>
      </c>
      <c r="E18" s="35" t="s">
        <v>29</v>
      </c>
      <c r="F18" s="36" t="s">
        <v>30</v>
      </c>
      <c r="G18" s="37" t="s">
        <v>31</v>
      </c>
      <c r="H18" s="38">
        <f t="shared" si="0"/>
        <v>4014.6099999999997</v>
      </c>
      <c r="I18" s="39"/>
      <c r="J18" s="40">
        <f>2958.52-2.8-0.08-0.03</f>
        <v>2955.6099999999997</v>
      </c>
      <c r="K18" s="41">
        <f t="shared" si="3"/>
        <v>2955.6099999999997</v>
      </c>
      <c r="L18" s="42">
        <v>489</v>
      </c>
      <c r="M18" s="42">
        <v>46.2</v>
      </c>
      <c r="N18" s="42">
        <v>576.9</v>
      </c>
      <c r="O18" s="43">
        <f t="shared" si="1"/>
        <v>570</v>
      </c>
      <c r="P18" s="42">
        <v>570</v>
      </c>
      <c r="Q18" s="42"/>
      <c r="R18" s="42">
        <v>0</v>
      </c>
      <c r="S18" s="44">
        <f t="shared" si="2"/>
        <v>3444.6099999999997</v>
      </c>
      <c r="T18" s="35" t="s">
        <v>66</v>
      </c>
      <c r="U18" s="70" t="s">
        <v>67</v>
      </c>
      <c r="V18" s="71" t="s">
        <v>65</v>
      </c>
      <c r="W18" s="71" t="s">
        <v>29</v>
      </c>
      <c r="X18" s="70" t="s">
        <v>29</v>
      </c>
      <c r="Y18" s="72" t="e">
        <f>#REF!-H18</f>
        <v>#REF!</v>
      </c>
      <c r="Z18" s="73" t="e">
        <f>#REF!-J18</f>
        <v>#REF!</v>
      </c>
      <c r="AA18" s="74" t="e">
        <f>#REF!-L18</f>
        <v>#REF!</v>
      </c>
      <c r="AB18" s="73" t="e">
        <f>#REF!-N18</f>
        <v>#REF!</v>
      </c>
      <c r="AC18" s="72" t="e">
        <f>(#REF!+#REF!)-S18</f>
        <v>#REF!</v>
      </c>
      <c r="AD18" s="50" t="e">
        <f>AC18/(#REF!+#REF!)*100</f>
        <v>#REF!</v>
      </c>
      <c r="AH18" s="33" t="s">
        <v>34</v>
      </c>
    </row>
    <row r="19" spans="1:34" x14ac:dyDescent="0.3">
      <c r="A19" s="101">
        <v>15</v>
      </c>
      <c r="B19" s="34" t="s">
        <v>26</v>
      </c>
      <c r="C19" s="34" t="s">
        <v>64</v>
      </c>
      <c r="D19" s="35" t="s">
        <v>65</v>
      </c>
      <c r="E19" s="35" t="s">
        <v>29</v>
      </c>
      <c r="F19" s="36" t="s">
        <v>43</v>
      </c>
      <c r="G19" s="37" t="s">
        <v>31</v>
      </c>
      <c r="H19" s="38">
        <f t="shared" si="0"/>
        <v>848.43000000000006</v>
      </c>
      <c r="I19" s="39"/>
      <c r="J19" s="40">
        <v>633.23</v>
      </c>
      <c r="K19" s="41">
        <f t="shared" si="3"/>
        <v>633.23</v>
      </c>
      <c r="L19" s="42">
        <v>55.9</v>
      </c>
      <c r="M19" s="42"/>
      <c r="N19" s="42">
        <v>180.8</v>
      </c>
      <c r="O19" s="43">
        <f t="shared" si="1"/>
        <v>159.30000000000001</v>
      </c>
      <c r="P19" s="42">
        <v>109</v>
      </c>
      <c r="Q19" s="42">
        <v>50.3</v>
      </c>
      <c r="R19" s="42"/>
      <c r="S19" s="44">
        <f t="shared" si="2"/>
        <v>689.13</v>
      </c>
      <c r="T19" s="35" t="s">
        <v>68</v>
      </c>
      <c r="U19" s="70" t="s">
        <v>67</v>
      </c>
      <c r="V19" s="71" t="s">
        <v>65</v>
      </c>
      <c r="W19" s="71" t="s">
        <v>29</v>
      </c>
      <c r="X19" s="70" t="s">
        <v>29</v>
      </c>
      <c r="Y19" s="72" t="e">
        <f>#REF!-H19</f>
        <v>#REF!</v>
      </c>
      <c r="Z19" s="73" t="e">
        <f>#REF!-J19</f>
        <v>#REF!</v>
      </c>
      <c r="AA19" s="74" t="e">
        <f>#REF!-L19</f>
        <v>#REF!</v>
      </c>
      <c r="AB19" s="73" t="e">
        <f>#REF!-N19</f>
        <v>#REF!</v>
      </c>
      <c r="AC19" s="72" t="e">
        <f>(#REF!+#REF!)-S19</f>
        <v>#REF!</v>
      </c>
      <c r="AD19" s="50" t="e">
        <f>AC19/(#REF!+#REF!)*100</f>
        <v>#REF!</v>
      </c>
      <c r="AH19" s="33" t="s">
        <v>34</v>
      </c>
    </row>
    <row r="20" spans="1:34" x14ac:dyDescent="0.3">
      <c r="A20" s="75">
        <v>16</v>
      </c>
      <c r="B20" s="34" t="s">
        <v>26</v>
      </c>
      <c r="C20" s="34" t="s">
        <v>64</v>
      </c>
      <c r="D20" s="35" t="s">
        <v>69</v>
      </c>
      <c r="E20" s="35" t="s">
        <v>29</v>
      </c>
      <c r="F20" s="36" t="s">
        <v>30</v>
      </c>
      <c r="G20" s="37" t="s">
        <v>31</v>
      </c>
      <c r="H20" s="38">
        <f t="shared" si="0"/>
        <v>7808.64</v>
      </c>
      <c r="I20" s="39">
        <f>70.05-28.79</f>
        <v>41.26</v>
      </c>
      <c r="J20" s="40">
        <f>6389.52+0.07+28.79</f>
        <v>6418.38</v>
      </c>
      <c r="K20" s="41">
        <f t="shared" si="3"/>
        <v>6459.64</v>
      </c>
      <c r="L20" s="42">
        <f>212.2+20.8</f>
        <v>233</v>
      </c>
      <c r="M20" s="42">
        <v>118.3</v>
      </c>
      <c r="N20" s="42">
        <v>1553</v>
      </c>
      <c r="O20" s="43">
        <f t="shared" si="1"/>
        <v>1116</v>
      </c>
      <c r="P20" s="42">
        <v>1116</v>
      </c>
      <c r="Q20" s="42"/>
      <c r="R20" s="42">
        <v>0</v>
      </c>
      <c r="S20" s="44">
        <f t="shared" si="2"/>
        <v>6692.64</v>
      </c>
      <c r="T20" s="35" t="s">
        <v>70</v>
      </c>
      <c r="U20" s="70" t="s">
        <v>67</v>
      </c>
      <c r="V20" s="71" t="s">
        <v>69</v>
      </c>
      <c r="W20" s="71" t="s">
        <v>29</v>
      </c>
      <c r="X20" s="70" t="s">
        <v>29</v>
      </c>
      <c r="Y20" s="72" t="e">
        <f>#REF!-H20</f>
        <v>#REF!</v>
      </c>
      <c r="Z20" s="73" t="e">
        <f>#REF!-J20</f>
        <v>#REF!</v>
      </c>
      <c r="AA20" s="74" t="e">
        <f>#REF!-L20</f>
        <v>#REF!</v>
      </c>
      <c r="AB20" s="73" t="e">
        <f>#REF!-N20</f>
        <v>#REF!</v>
      </c>
      <c r="AC20" s="72" t="e">
        <f>(#REF!+#REF!)-S20</f>
        <v>#REF!</v>
      </c>
      <c r="AD20" s="50" t="e">
        <f>AC20/(#REF!+#REF!)*100</f>
        <v>#REF!</v>
      </c>
      <c r="AH20" s="33" t="s">
        <v>34</v>
      </c>
    </row>
    <row r="21" spans="1:34" x14ac:dyDescent="0.3">
      <c r="A21" s="75">
        <v>17</v>
      </c>
      <c r="B21" s="34" t="s">
        <v>26</v>
      </c>
      <c r="C21" s="34" t="s">
        <v>64</v>
      </c>
      <c r="D21" s="35" t="s">
        <v>69</v>
      </c>
      <c r="E21" s="35" t="s">
        <v>29</v>
      </c>
      <c r="F21" s="36" t="s">
        <v>43</v>
      </c>
      <c r="G21" s="37" t="s">
        <v>31</v>
      </c>
      <c r="H21" s="38">
        <f t="shared" si="0"/>
        <v>2213.94</v>
      </c>
      <c r="I21" s="39"/>
      <c r="J21" s="40">
        <v>1672.44</v>
      </c>
      <c r="K21" s="41">
        <f t="shared" si="3"/>
        <v>1672.44</v>
      </c>
      <c r="L21" s="42">
        <v>245.7</v>
      </c>
      <c r="M21" s="42">
        <f>99.9+28.9</f>
        <v>128.80000000000001</v>
      </c>
      <c r="N21" s="42">
        <v>412</v>
      </c>
      <c r="O21" s="43">
        <f t="shared" si="1"/>
        <v>295.8</v>
      </c>
      <c r="P21" s="42">
        <v>295.8</v>
      </c>
      <c r="Q21" s="42">
        <v>0</v>
      </c>
      <c r="R21" s="42"/>
      <c r="S21" s="44">
        <f t="shared" si="2"/>
        <v>1918.14</v>
      </c>
      <c r="T21" s="35" t="s">
        <v>71</v>
      </c>
      <c r="U21" s="70" t="s">
        <v>67</v>
      </c>
      <c r="V21" s="71" t="s">
        <v>69</v>
      </c>
      <c r="W21" s="71" t="s">
        <v>29</v>
      </c>
      <c r="X21" s="70" t="s">
        <v>29</v>
      </c>
      <c r="Y21" s="72" t="e">
        <f>#REF!-H21</f>
        <v>#REF!</v>
      </c>
      <c r="Z21" s="73" t="e">
        <f>#REF!-J21</f>
        <v>#REF!</v>
      </c>
      <c r="AA21" s="74" t="e">
        <f>#REF!-L21</f>
        <v>#REF!</v>
      </c>
      <c r="AB21" s="73" t="e">
        <f>#REF!-N21</f>
        <v>#REF!</v>
      </c>
      <c r="AC21" s="72" t="e">
        <f>(#REF!+#REF!)-S21</f>
        <v>#REF!</v>
      </c>
      <c r="AD21" s="50" t="e">
        <f>AC21/(#REF!+#REF!)*100</f>
        <v>#REF!</v>
      </c>
      <c r="AH21" s="33" t="s">
        <v>34</v>
      </c>
    </row>
    <row r="22" spans="1:34" x14ac:dyDescent="0.3">
      <c r="A22" s="101">
        <v>18</v>
      </c>
      <c r="B22" s="34" t="s">
        <v>26</v>
      </c>
      <c r="C22" s="34" t="s">
        <v>64</v>
      </c>
      <c r="D22" s="35" t="s">
        <v>72</v>
      </c>
      <c r="E22" s="35" t="s">
        <v>29</v>
      </c>
      <c r="F22" s="36" t="s">
        <v>30</v>
      </c>
      <c r="G22" s="37"/>
      <c r="H22" s="38">
        <f t="shared" si="0"/>
        <v>3199.8</v>
      </c>
      <c r="I22" s="39"/>
      <c r="J22" s="40">
        <v>2632.9</v>
      </c>
      <c r="K22" s="41">
        <f t="shared" si="3"/>
        <v>2632.9</v>
      </c>
      <c r="L22" s="42">
        <v>70</v>
      </c>
      <c r="M22" s="42"/>
      <c r="N22" s="40">
        <v>505.3</v>
      </c>
      <c r="O22" s="43">
        <f t="shared" si="1"/>
        <v>496.9</v>
      </c>
      <c r="P22" s="40">
        <v>261.39999999999998</v>
      </c>
      <c r="Q22" s="40">
        <v>143.30000000000001</v>
      </c>
      <c r="R22" s="40">
        <v>92.2</v>
      </c>
      <c r="S22" s="44">
        <f t="shared" si="2"/>
        <v>2702.9</v>
      </c>
      <c r="T22" s="35" t="s">
        <v>73</v>
      </c>
      <c r="U22" s="70" t="s">
        <v>67</v>
      </c>
      <c r="V22" s="71" t="s">
        <v>72</v>
      </c>
      <c r="W22" s="71" t="s">
        <v>29</v>
      </c>
      <c r="X22" s="70" t="s">
        <v>29</v>
      </c>
      <c r="Y22" s="72" t="e">
        <f>#REF!-H22</f>
        <v>#REF!</v>
      </c>
      <c r="Z22" s="73" t="e">
        <f>#REF!-J22</f>
        <v>#REF!</v>
      </c>
      <c r="AA22" s="74" t="e">
        <f>#REF!-L22</f>
        <v>#REF!</v>
      </c>
      <c r="AB22" s="73" t="e">
        <f>#REF!-N22</f>
        <v>#REF!</v>
      </c>
      <c r="AC22" s="72" t="e">
        <f>(#REF!+#REF!)-S22</f>
        <v>#REF!</v>
      </c>
      <c r="AD22" s="50" t="e">
        <f>AC22/(#REF!+#REF!)*100</f>
        <v>#REF!</v>
      </c>
      <c r="AH22" s="33" t="s">
        <v>34</v>
      </c>
    </row>
    <row r="23" spans="1:34" x14ac:dyDescent="0.3">
      <c r="A23" s="75">
        <v>19</v>
      </c>
      <c r="B23" s="34" t="s">
        <v>26</v>
      </c>
      <c r="C23" s="34" t="s">
        <v>64</v>
      </c>
      <c r="D23" s="35" t="s">
        <v>74</v>
      </c>
      <c r="E23" s="35" t="s">
        <v>29</v>
      </c>
      <c r="F23" s="36" t="s">
        <v>30</v>
      </c>
      <c r="G23" s="37" t="s">
        <v>31</v>
      </c>
      <c r="H23" s="38">
        <f t="shared" si="0"/>
        <v>6212.58</v>
      </c>
      <c r="I23" s="39"/>
      <c r="J23" s="40">
        <v>4781.4799999999996</v>
      </c>
      <c r="K23" s="41">
        <f t="shared" si="3"/>
        <v>4781.4799999999996</v>
      </c>
      <c r="L23" s="42">
        <f>656.5-3.8+4.3</f>
        <v>657</v>
      </c>
      <c r="M23" s="42"/>
      <c r="N23" s="40">
        <v>734.3</v>
      </c>
      <c r="O23" s="43">
        <f t="shared" si="1"/>
        <v>774.09999999999991</v>
      </c>
      <c r="P23" s="40">
        <v>724</v>
      </c>
      <c r="Q23" s="40">
        <v>10.3</v>
      </c>
      <c r="R23" s="40">
        <v>39.799999999999997</v>
      </c>
      <c r="S23" s="44">
        <f t="shared" si="2"/>
        <v>5438.48</v>
      </c>
      <c r="T23" s="35" t="s">
        <v>75</v>
      </c>
      <c r="U23" s="70" t="s">
        <v>76</v>
      </c>
      <c r="V23" s="71" t="s">
        <v>77</v>
      </c>
      <c r="W23" s="71" t="s">
        <v>29</v>
      </c>
      <c r="X23" s="70" t="s">
        <v>29</v>
      </c>
      <c r="Y23" s="72" t="e">
        <f>#REF!-H23</f>
        <v>#REF!</v>
      </c>
      <c r="Z23" s="73" t="e">
        <f>#REF!-J23</f>
        <v>#REF!</v>
      </c>
      <c r="AA23" s="74" t="e">
        <f>#REF!-L23</f>
        <v>#REF!</v>
      </c>
      <c r="AB23" s="73" t="e">
        <f>#REF!-N23</f>
        <v>#REF!</v>
      </c>
      <c r="AC23" s="72" t="e">
        <f>(#REF!+#REF!)-S23</f>
        <v>#REF!</v>
      </c>
      <c r="AD23" s="50" t="e">
        <f>AC23/(#REF!+#REF!)*100</f>
        <v>#REF!</v>
      </c>
      <c r="AH23" s="33" t="s">
        <v>34</v>
      </c>
    </row>
    <row r="24" spans="1:34" s="69" customFormat="1" x14ac:dyDescent="0.3">
      <c r="A24" s="75">
        <v>20</v>
      </c>
      <c r="B24" s="34" t="s">
        <v>26</v>
      </c>
      <c r="C24" s="34" t="s">
        <v>64</v>
      </c>
      <c r="D24" s="35" t="s">
        <v>78</v>
      </c>
      <c r="E24" s="35" t="s">
        <v>29</v>
      </c>
      <c r="F24" s="36" t="s">
        <v>30</v>
      </c>
      <c r="G24" s="37"/>
      <c r="H24" s="38">
        <f t="shared" si="0"/>
        <v>2424.4</v>
      </c>
      <c r="I24" s="39"/>
      <c r="J24" s="40">
        <v>1979</v>
      </c>
      <c r="K24" s="41">
        <f t="shared" si="3"/>
        <v>1979</v>
      </c>
      <c r="L24" s="42">
        <v>42.7</v>
      </c>
      <c r="M24" s="42"/>
      <c r="N24" s="40">
        <v>343.2</v>
      </c>
      <c r="O24" s="43">
        <f t="shared" si="1"/>
        <v>402.7</v>
      </c>
      <c r="P24" s="40">
        <v>294</v>
      </c>
      <c r="Q24" s="40"/>
      <c r="R24" s="40">
        <v>108.7</v>
      </c>
      <c r="S24" s="76">
        <f t="shared" si="2"/>
        <v>2021.7</v>
      </c>
      <c r="T24" s="35" t="s">
        <v>79</v>
      </c>
      <c r="U24" s="34" t="s">
        <v>67</v>
      </c>
      <c r="V24" s="35" t="s">
        <v>78</v>
      </c>
      <c r="W24" s="35" t="s">
        <v>29</v>
      </c>
      <c r="X24" s="34" t="s">
        <v>29</v>
      </c>
      <c r="Y24" s="77" t="e">
        <f>#REF!-H24</f>
        <v>#REF!</v>
      </c>
      <c r="Z24" s="78" t="e">
        <f>#REF!-J24</f>
        <v>#REF!</v>
      </c>
      <c r="AA24" s="79" t="e">
        <f>#REF!-L24</f>
        <v>#REF!</v>
      </c>
      <c r="AB24" s="78" t="e">
        <f>#REF!-N24</f>
        <v>#REF!</v>
      </c>
      <c r="AC24" s="77" t="e">
        <f>(#REF!+#REF!)-S24</f>
        <v>#REF!</v>
      </c>
      <c r="AD24" s="80" t="e">
        <f>AC24/(#REF!+#REF!)*100</f>
        <v>#REF!</v>
      </c>
      <c r="AG24" s="81"/>
      <c r="AH24" s="33" t="s">
        <v>34</v>
      </c>
    </row>
    <row r="25" spans="1:34" s="69" customFormat="1" x14ac:dyDescent="0.3">
      <c r="A25" s="75">
        <v>21</v>
      </c>
      <c r="B25" s="34" t="s">
        <v>26</v>
      </c>
      <c r="C25" s="34" t="s">
        <v>64</v>
      </c>
      <c r="D25" s="35" t="s">
        <v>80</v>
      </c>
      <c r="E25" s="35" t="s">
        <v>29</v>
      </c>
      <c r="F25" s="36" t="s">
        <v>30</v>
      </c>
      <c r="G25" s="37"/>
      <c r="H25" s="38">
        <f t="shared" si="0"/>
        <v>4149.55</v>
      </c>
      <c r="I25" s="39"/>
      <c r="J25" s="40">
        <v>2917.75</v>
      </c>
      <c r="K25" s="41">
        <f t="shared" si="3"/>
        <v>2917.75</v>
      </c>
      <c r="L25" s="42">
        <v>908.9</v>
      </c>
      <c r="M25" s="42">
        <v>63.3</v>
      </c>
      <c r="N25" s="40">
        <v>329</v>
      </c>
      <c r="O25" s="43">
        <f t="shared" si="1"/>
        <v>322.89999999999998</v>
      </c>
      <c r="P25" s="40">
        <v>322.89999999999998</v>
      </c>
      <c r="Q25" s="40"/>
      <c r="R25" s="40"/>
      <c r="S25" s="76">
        <f t="shared" si="2"/>
        <v>3826.65</v>
      </c>
      <c r="T25" s="35" t="s">
        <v>81</v>
      </c>
      <c r="U25" s="34" t="s">
        <v>67</v>
      </c>
      <c r="V25" s="35" t="s">
        <v>80</v>
      </c>
      <c r="W25" s="35" t="s">
        <v>29</v>
      </c>
      <c r="X25" s="34" t="s">
        <v>29</v>
      </c>
      <c r="Y25" s="77" t="e">
        <f>#REF!-H25</f>
        <v>#REF!</v>
      </c>
      <c r="Z25" s="78" t="e">
        <f>#REF!-J25</f>
        <v>#REF!</v>
      </c>
      <c r="AA25" s="79" t="e">
        <f>#REF!-L25</f>
        <v>#REF!</v>
      </c>
      <c r="AB25" s="78" t="e">
        <f>#REF!-N25</f>
        <v>#REF!</v>
      </c>
      <c r="AC25" s="77" t="e">
        <f>(#REF!+#REF!)-S25</f>
        <v>#REF!</v>
      </c>
      <c r="AD25" s="80" t="e">
        <f>AC25/(#REF!+#REF!)*100</f>
        <v>#REF!</v>
      </c>
      <c r="AG25" s="81"/>
      <c r="AH25" s="33" t="s">
        <v>34</v>
      </c>
    </row>
    <row r="26" spans="1:34" s="69" customFormat="1" x14ac:dyDescent="0.3">
      <c r="A26" s="101">
        <v>22</v>
      </c>
      <c r="B26" s="34" t="s">
        <v>26</v>
      </c>
      <c r="C26" s="34" t="s">
        <v>64</v>
      </c>
      <c r="D26" s="35" t="s">
        <v>77</v>
      </c>
      <c r="E26" s="35" t="s">
        <v>29</v>
      </c>
      <c r="F26" s="36" t="s">
        <v>30</v>
      </c>
      <c r="G26" s="37"/>
      <c r="H26" s="38">
        <f t="shared" si="0"/>
        <v>5984.7999999999993</v>
      </c>
      <c r="I26" s="39"/>
      <c r="J26" s="40">
        <v>4751.7</v>
      </c>
      <c r="K26" s="41">
        <f t="shared" si="3"/>
        <v>4751.7</v>
      </c>
      <c r="L26" s="42">
        <f>710.6-1.2</f>
        <v>709.4</v>
      </c>
      <c r="M26" s="42"/>
      <c r="N26" s="40">
        <v>520.5</v>
      </c>
      <c r="O26" s="43">
        <f t="shared" si="1"/>
        <v>523.70000000000005</v>
      </c>
      <c r="P26" s="40">
        <v>484</v>
      </c>
      <c r="Q26" s="40">
        <f>36.5+3.2</f>
        <v>39.700000000000003</v>
      </c>
      <c r="R26" s="40"/>
      <c r="S26" s="76">
        <f t="shared" si="2"/>
        <v>5461.0999999999995</v>
      </c>
      <c r="T26" s="35" t="s">
        <v>82</v>
      </c>
      <c r="U26" s="34" t="s">
        <v>67</v>
      </c>
      <c r="V26" s="35" t="s">
        <v>77</v>
      </c>
      <c r="W26" s="35" t="s">
        <v>29</v>
      </c>
      <c r="X26" s="34" t="s">
        <v>29</v>
      </c>
      <c r="Y26" s="77" t="e">
        <f>#REF!-H26</f>
        <v>#REF!</v>
      </c>
      <c r="Z26" s="78" t="e">
        <f>#REF!-J26</f>
        <v>#REF!</v>
      </c>
      <c r="AA26" s="79" t="e">
        <f>#REF!-L26</f>
        <v>#REF!</v>
      </c>
      <c r="AB26" s="78" t="e">
        <f>#REF!-N26</f>
        <v>#REF!</v>
      </c>
      <c r="AC26" s="77" t="e">
        <f>(#REF!+#REF!)-S26</f>
        <v>#REF!</v>
      </c>
      <c r="AD26" s="80" t="e">
        <f>AC26/(#REF!+#REF!)*100</f>
        <v>#REF!</v>
      </c>
      <c r="AG26" s="81"/>
      <c r="AH26" s="33" t="s">
        <v>34</v>
      </c>
    </row>
    <row r="27" spans="1:34" s="69" customFormat="1" x14ac:dyDescent="0.3">
      <c r="A27" s="75">
        <v>23</v>
      </c>
      <c r="B27" s="34" t="s">
        <v>26</v>
      </c>
      <c r="C27" s="34" t="s">
        <v>64</v>
      </c>
      <c r="D27" s="35" t="s">
        <v>83</v>
      </c>
      <c r="E27" s="35" t="s">
        <v>29</v>
      </c>
      <c r="F27" s="36" t="s">
        <v>30</v>
      </c>
      <c r="G27" s="37" t="s">
        <v>31</v>
      </c>
      <c r="H27" s="38">
        <f t="shared" si="0"/>
        <v>982.4799999999999</v>
      </c>
      <c r="I27" s="39"/>
      <c r="J27" s="40">
        <v>870.18</v>
      </c>
      <c r="K27" s="41">
        <f t="shared" si="3"/>
        <v>870.18</v>
      </c>
      <c r="L27" s="42">
        <v>0</v>
      </c>
      <c r="M27" s="42"/>
      <c r="N27" s="40">
        <v>115.5</v>
      </c>
      <c r="O27" s="43">
        <f t="shared" si="1"/>
        <v>112.3</v>
      </c>
      <c r="P27" s="40">
        <v>102</v>
      </c>
      <c r="Q27" s="40">
        <v>10.3</v>
      </c>
      <c r="R27" s="40"/>
      <c r="S27" s="76">
        <f t="shared" si="2"/>
        <v>870.18</v>
      </c>
      <c r="T27" s="35" t="s">
        <v>84</v>
      </c>
      <c r="U27" s="34" t="s">
        <v>67</v>
      </c>
      <c r="V27" s="35" t="s">
        <v>83</v>
      </c>
      <c r="W27" s="35" t="s">
        <v>29</v>
      </c>
      <c r="X27" s="34" t="s">
        <v>29</v>
      </c>
      <c r="Y27" s="77" t="e">
        <f>#REF!-H27</f>
        <v>#REF!</v>
      </c>
      <c r="Z27" s="78" t="e">
        <f>#REF!-J27</f>
        <v>#REF!</v>
      </c>
      <c r="AA27" s="79"/>
      <c r="AB27" s="78" t="e">
        <f>#REF!-N27</f>
        <v>#REF!</v>
      </c>
      <c r="AC27" s="77" t="e">
        <f>(#REF!+#REF!)-S27</f>
        <v>#REF!</v>
      </c>
      <c r="AD27" s="80" t="e">
        <f>AC27/(#REF!+#REF!)*100</f>
        <v>#REF!</v>
      </c>
      <c r="AG27" s="81"/>
      <c r="AH27" s="33" t="s">
        <v>34</v>
      </c>
    </row>
    <row r="28" spans="1:34" s="69" customFormat="1" x14ac:dyDescent="0.3">
      <c r="A28" s="75">
        <v>24</v>
      </c>
      <c r="B28" s="34" t="s">
        <v>26</v>
      </c>
      <c r="C28" s="34" t="s">
        <v>64</v>
      </c>
      <c r="D28" s="35" t="s">
        <v>85</v>
      </c>
      <c r="E28" s="35" t="s">
        <v>29</v>
      </c>
      <c r="F28" s="36" t="s">
        <v>30</v>
      </c>
      <c r="G28" s="37" t="s">
        <v>31</v>
      </c>
      <c r="H28" s="38">
        <f t="shared" si="0"/>
        <v>4657.4800000000005</v>
      </c>
      <c r="I28" s="39">
        <v>0</v>
      </c>
      <c r="J28" s="40">
        <v>4155.68</v>
      </c>
      <c r="K28" s="41">
        <f t="shared" si="3"/>
        <v>4155.68</v>
      </c>
      <c r="L28" s="42">
        <v>0</v>
      </c>
      <c r="M28" s="42"/>
      <c r="N28" s="40">
        <v>501.8</v>
      </c>
      <c r="O28" s="43">
        <f t="shared" si="1"/>
        <v>501.8</v>
      </c>
      <c r="P28" s="40">
        <v>460</v>
      </c>
      <c r="Q28" s="40">
        <v>41.8</v>
      </c>
      <c r="R28" s="40"/>
      <c r="S28" s="76">
        <f t="shared" si="2"/>
        <v>4155.68</v>
      </c>
      <c r="T28" s="35" t="s">
        <v>86</v>
      </c>
      <c r="U28" s="34" t="s">
        <v>67</v>
      </c>
      <c r="V28" s="35" t="s">
        <v>85</v>
      </c>
      <c r="W28" s="35" t="s">
        <v>29</v>
      </c>
      <c r="X28" s="34" t="s">
        <v>29</v>
      </c>
      <c r="Y28" s="77" t="e">
        <f>#REF!-H28</f>
        <v>#REF!</v>
      </c>
      <c r="Z28" s="78" t="e">
        <f>#REF!-J28</f>
        <v>#REF!</v>
      </c>
      <c r="AA28" s="79" t="e">
        <f>#REF!-L28</f>
        <v>#REF!</v>
      </c>
      <c r="AB28" s="78" t="e">
        <f>#REF!-N28</f>
        <v>#REF!</v>
      </c>
      <c r="AC28" s="77" t="e">
        <f>(#REF!+#REF!)-S28</f>
        <v>#REF!</v>
      </c>
      <c r="AD28" s="80" t="e">
        <f>AC28/(#REF!+#REF!)*100</f>
        <v>#REF!</v>
      </c>
      <c r="AG28" s="81"/>
      <c r="AH28" s="33" t="s">
        <v>34</v>
      </c>
    </row>
    <row r="29" spans="1:34" s="69" customFormat="1" x14ac:dyDescent="0.3">
      <c r="A29" s="101">
        <v>25</v>
      </c>
      <c r="B29" s="34" t="s">
        <v>26</v>
      </c>
      <c r="C29" s="34" t="s">
        <v>87</v>
      </c>
      <c r="D29" s="35" t="s">
        <v>88</v>
      </c>
      <c r="E29" s="35" t="s">
        <v>29</v>
      </c>
      <c r="F29" s="36" t="s">
        <v>30</v>
      </c>
      <c r="G29" s="37" t="s">
        <v>31</v>
      </c>
      <c r="H29" s="38">
        <f t="shared" si="0"/>
        <v>3573.19</v>
      </c>
      <c r="I29" s="39"/>
      <c r="J29" s="40">
        <v>2764.34</v>
      </c>
      <c r="K29" s="41">
        <f t="shared" si="3"/>
        <v>2764.34</v>
      </c>
      <c r="L29" s="42">
        <f>465.85</f>
        <v>465.85</v>
      </c>
      <c r="M29" s="42"/>
      <c r="N29" s="40">
        <v>343</v>
      </c>
      <c r="O29" s="43">
        <f t="shared" si="1"/>
        <v>343</v>
      </c>
      <c r="P29" s="40">
        <v>343</v>
      </c>
      <c r="Q29" s="40"/>
      <c r="R29" s="40"/>
      <c r="S29" s="76">
        <f t="shared" si="2"/>
        <v>3230.19</v>
      </c>
      <c r="T29" s="35" t="s">
        <v>89</v>
      </c>
      <c r="U29" s="34" t="s">
        <v>90</v>
      </c>
      <c r="V29" s="35" t="s">
        <v>88</v>
      </c>
      <c r="W29" s="35" t="s">
        <v>29</v>
      </c>
      <c r="X29" s="34" t="s">
        <v>29</v>
      </c>
      <c r="Y29" s="77" t="e">
        <f>#REF!-H29</f>
        <v>#REF!</v>
      </c>
      <c r="Z29" s="78" t="e">
        <f>#REF!-J29</f>
        <v>#REF!</v>
      </c>
      <c r="AA29" s="79" t="e">
        <f>#REF!-L29</f>
        <v>#REF!</v>
      </c>
      <c r="AB29" s="78" t="e">
        <f>#REF!-N29</f>
        <v>#REF!</v>
      </c>
      <c r="AC29" s="77" t="e">
        <f>(#REF!+#REF!)-S29</f>
        <v>#REF!</v>
      </c>
      <c r="AD29" s="80" t="e">
        <f>AC29/(#REF!+#REF!)*100</f>
        <v>#REF!</v>
      </c>
      <c r="AG29" s="81"/>
      <c r="AH29" s="33" t="s">
        <v>34</v>
      </c>
    </row>
    <row r="30" spans="1:34" x14ac:dyDescent="0.3">
      <c r="A30" s="75">
        <v>26</v>
      </c>
      <c r="B30" s="34" t="s">
        <v>26</v>
      </c>
      <c r="C30" s="34" t="s">
        <v>87</v>
      </c>
      <c r="D30" s="35" t="s">
        <v>69</v>
      </c>
      <c r="E30" s="35" t="s">
        <v>29</v>
      </c>
      <c r="F30" s="36" t="s">
        <v>30</v>
      </c>
      <c r="G30" s="37" t="s">
        <v>31</v>
      </c>
      <c r="H30" s="38">
        <f t="shared" si="0"/>
        <v>3722.79</v>
      </c>
      <c r="I30" s="39">
        <v>0</v>
      </c>
      <c r="J30" s="40">
        <f>2813.3+14.43</f>
        <v>2827.73</v>
      </c>
      <c r="K30" s="41">
        <f t="shared" si="3"/>
        <v>2827.73</v>
      </c>
      <c r="L30" s="42">
        <v>497.76</v>
      </c>
      <c r="M30" s="42"/>
      <c r="N30" s="40">
        <v>397.3</v>
      </c>
      <c r="O30" s="43">
        <f t="shared" si="1"/>
        <v>397.3</v>
      </c>
      <c r="P30" s="40">
        <v>387</v>
      </c>
      <c r="Q30" s="40">
        <v>10.3</v>
      </c>
      <c r="R30" s="40"/>
      <c r="S30" s="44">
        <f t="shared" si="2"/>
        <v>3325.49</v>
      </c>
      <c r="T30" s="35" t="s">
        <v>91</v>
      </c>
      <c r="U30" s="70" t="s">
        <v>90</v>
      </c>
      <c r="V30" s="71" t="s">
        <v>69</v>
      </c>
      <c r="W30" s="71" t="s">
        <v>29</v>
      </c>
      <c r="X30" s="70" t="s">
        <v>29</v>
      </c>
      <c r="Y30" s="72" t="e">
        <f>#REF!-H30</f>
        <v>#REF!</v>
      </c>
      <c r="Z30" s="73" t="e">
        <f>#REF!-J30</f>
        <v>#REF!</v>
      </c>
      <c r="AA30" s="74" t="e">
        <f>#REF!-L30</f>
        <v>#REF!</v>
      </c>
      <c r="AB30" s="73" t="e">
        <f>#REF!-N30</f>
        <v>#REF!</v>
      </c>
      <c r="AC30" s="72" t="e">
        <f>(#REF!+#REF!)-S30</f>
        <v>#REF!</v>
      </c>
      <c r="AD30" s="50" t="e">
        <f>AC30/(#REF!+#REF!)*100</f>
        <v>#REF!</v>
      </c>
      <c r="AH30" s="33" t="s">
        <v>34</v>
      </c>
    </row>
    <row r="31" spans="1:34" x14ac:dyDescent="0.3">
      <c r="A31" s="75">
        <v>27</v>
      </c>
      <c r="B31" s="34" t="s">
        <v>26</v>
      </c>
      <c r="C31" s="34" t="s">
        <v>87</v>
      </c>
      <c r="D31" s="35" t="s">
        <v>92</v>
      </c>
      <c r="E31" s="35" t="s">
        <v>29</v>
      </c>
      <c r="F31" s="36" t="s">
        <v>30</v>
      </c>
      <c r="G31" s="37" t="s">
        <v>31</v>
      </c>
      <c r="H31" s="38">
        <f t="shared" si="0"/>
        <v>4466.8900000000003</v>
      </c>
      <c r="I31" s="39">
        <v>17.55</v>
      </c>
      <c r="J31" s="40">
        <v>3749.94</v>
      </c>
      <c r="K31" s="41">
        <f t="shared" si="3"/>
        <v>3767.4900000000002</v>
      </c>
      <c r="L31" s="42">
        <f>228.22-37.82</f>
        <v>190.4</v>
      </c>
      <c r="M31" s="42"/>
      <c r="N31" s="40">
        <f>509+37.82</f>
        <v>546.82000000000005</v>
      </c>
      <c r="O31" s="43">
        <f t="shared" si="1"/>
        <v>509</v>
      </c>
      <c r="P31" s="40">
        <v>475</v>
      </c>
      <c r="Q31" s="40">
        <v>34</v>
      </c>
      <c r="R31" s="40">
        <v>0</v>
      </c>
      <c r="S31" s="44">
        <f t="shared" si="2"/>
        <v>3957.8900000000003</v>
      </c>
      <c r="T31" s="35" t="s">
        <v>93</v>
      </c>
      <c r="U31" s="70" t="s">
        <v>90</v>
      </c>
      <c r="V31" s="71" t="s">
        <v>92</v>
      </c>
      <c r="W31" s="71" t="s">
        <v>29</v>
      </c>
      <c r="X31" s="70" t="s">
        <v>29</v>
      </c>
      <c r="Y31" s="72" t="e">
        <f>#REF!-H31</f>
        <v>#REF!</v>
      </c>
      <c r="Z31" s="73" t="e">
        <f>#REF!-J31</f>
        <v>#REF!</v>
      </c>
      <c r="AA31" s="74" t="e">
        <f>#REF!-L31</f>
        <v>#REF!</v>
      </c>
      <c r="AB31" s="73" t="e">
        <f>#REF!-N31</f>
        <v>#REF!</v>
      </c>
      <c r="AC31" s="72" t="e">
        <f>(#REF!+#REF!)-S31</f>
        <v>#REF!</v>
      </c>
      <c r="AD31" s="50" t="e">
        <f>AC31/(#REF!+#REF!)*100</f>
        <v>#REF!</v>
      </c>
      <c r="AH31" s="33" t="s">
        <v>34</v>
      </c>
    </row>
    <row r="32" spans="1:34" s="69" customFormat="1" ht="21" x14ac:dyDescent="0.3">
      <c r="A32" s="101">
        <v>28</v>
      </c>
      <c r="B32" s="82" t="s">
        <v>26</v>
      </c>
      <c r="C32" s="82" t="s">
        <v>87</v>
      </c>
      <c r="D32" s="83" t="s">
        <v>94</v>
      </c>
      <c r="E32" s="83" t="s">
        <v>29</v>
      </c>
      <c r="F32" s="84" t="s">
        <v>30</v>
      </c>
      <c r="G32" s="85"/>
      <c r="H32" s="102">
        <f t="shared" si="0"/>
        <v>3433.81</v>
      </c>
      <c r="I32" s="87"/>
      <c r="J32" s="88">
        <v>2674.61</v>
      </c>
      <c r="K32" s="89">
        <f t="shared" si="3"/>
        <v>2674.61</v>
      </c>
      <c r="L32" s="103">
        <f>268+63.7</f>
        <v>331.7</v>
      </c>
      <c r="M32" s="103">
        <v>63.7</v>
      </c>
      <c r="N32" s="88">
        <v>343.6</v>
      </c>
      <c r="O32" s="87">
        <f t="shared" si="1"/>
        <v>427.5</v>
      </c>
      <c r="P32" s="88">
        <v>285</v>
      </c>
      <c r="Q32" s="104">
        <v>66.400000000000006</v>
      </c>
      <c r="R32" s="104">
        <v>76.099999999999994</v>
      </c>
      <c r="S32" s="92">
        <f t="shared" si="2"/>
        <v>3006.31</v>
      </c>
      <c r="T32" s="93" t="s">
        <v>57</v>
      </c>
      <c r="U32" s="82" t="s">
        <v>90</v>
      </c>
      <c r="V32" s="83" t="s">
        <v>94</v>
      </c>
      <c r="W32" s="83" t="s">
        <v>29</v>
      </c>
      <c r="X32" s="82" t="s">
        <v>29</v>
      </c>
      <c r="Y32" s="94" t="e">
        <f>#REF!-H32</f>
        <v>#REF!</v>
      </c>
      <c r="Z32" s="95" t="e">
        <f>#REF!-J32</f>
        <v>#REF!</v>
      </c>
      <c r="AA32" s="96" t="e">
        <f>#REF!-L32</f>
        <v>#REF!</v>
      </c>
      <c r="AB32" s="95" t="e">
        <f>#REF!-N32</f>
        <v>#REF!</v>
      </c>
      <c r="AC32" s="94" t="e">
        <f>(#REF!+#REF!)-S32</f>
        <v>#REF!</v>
      </c>
      <c r="AD32" s="97" t="e">
        <f>AC32/(#REF!+#REF!)*100</f>
        <v>#REF!</v>
      </c>
      <c r="AE32" s="98"/>
      <c r="AF32" s="98"/>
      <c r="AG32" s="99"/>
      <c r="AH32" s="100" t="s">
        <v>58</v>
      </c>
    </row>
    <row r="33" spans="1:34" s="69" customFormat="1" ht="21" x14ac:dyDescent="0.3">
      <c r="A33" s="75">
        <v>29</v>
      </c>
      <c r="B33" s="82" t="s">
        <v>26</v>
      </c>
      <c r="C33" s="82" t="s">
        <v>87</v>
      </c>
      <c r="D33" s="83" t="s">
        <v>80</v>
      </c>
      <c r="E33" s="83" t="s">
        <v>29</v>
      </c>
      <c r="F33" s="84" t="s">
        <v>30</v>
      </c>
      <c r="G33" s="85"/>
      <c r="H33" s="86">
        <f t="shared" si="0"/>
        <v>3020.37</v>
      </c>
      <c r="I33" s="87"/>
      <c r="J33" s="88">
        <v>2126.87</v>
      </c>
      <c r="K33" s="89">
        <f t="shared" si="3"/>
        <v>2126.87</v>
      </c>
      <c r="L33" s="90">
        <f>568.1-5.3</f>
        <v>562.80000000000007</v>
      </c>
      <c r="M33" s="90"/>
      <c r="N33" s="88">
        <v>330.7</v>
      </c>
      <c r="O33" s="91">
        <f t="shared" si="1"/>
        <v>330.7</v>
      </c>
      <c r="P33" s="88">
        <v>313</v>
      </c>
      <c r="Q33" s="88">
        <v>17.7</v>
      </c>
      <c r="R33" s="88"/>
      <c r="S33" s="92">
        <f t="shared" si="2"/>
        <v>2689.67</v>
      </c>
      <c r="T33" s="93" t="s">
        <v>57</v>
      </c>
      <c r="U33" s="82" t="s">
        <v>90</v>
      </c>
      <c r="V33" s="83" t="s">
        <v>80</v>
      </c>
      <c r="W33" s="83" t="s">
        <v>29</v>
      </c>
      <c r="X33" s="82" t="s">
        <v>29</v>
      </c>
      <c r="Y33" s="94" t="e">
        <f>#REF!-H33</f>
        <v>#REF!</v>
      </c>
      <c r="Z33" s="95" t="e">
        <f>#REF!-J33</f>
        <v>#REF!</v>
      </c>
      <c r="AA33" s="96" t="e">
        <f>#REF!-L33</f>
        <v>#REF!</v>
      </c>
      <c r="AB33" s="95" t="e">
        <f>#REF!-N33</f>
        <v>#REF!</v>
      </c>
      <c r="AC33" s="94" t="e">
        <f>(#REF!+#REF!)-S33</f>
        <v>#REF!</v>
      </c>
      <c r="AD33" s="97" t="e">
        <f>AC33/(#REF!+#REF!)*100</f>
        <v>#REF!</v>
      </c>
      <c r="AE33" s="98"/>
      <c r="AF33" s="98"/>
      <c r="AG33" s="99"/>
      <c r="AH33" s="100" t="s">
        <v>95</v>
      </c>
    </row>
    <row r="34" spans="1:34" s="69" customFormat="1" x14ac:dyDescent="0.3">
      <c r="A34" s="75">
        <v>30</v>
      </c>
      <c r="B34" s="34" t="s">
        <v>26</v>
      </c>
      <c r="C34" s="34" t="s">
        <v>87</v>
      </c>
      <c r="D34" s="35" t="s">
        <v>77</v>
      </c>
      <c r="E34" s="35" t="s">
        <v>29</v>
      </c>
      <c r="F34" s="36" t="s">
        <v>30</v>
      </c>
      <c r="G34" s="37" t="s">
        <v>31</v>
      </c>
      <c r="H34" s="38">
        <f t="shared" si="0"/>
        <v>3840.92</v>
      </c>
      <c r="I34" s="39"/>
      <c r="J34" s="40">
        <v>2822.92</v>
      </c>
      <c r="K34" s="41">
        <f t="shared" si="3"/>
        <v>2822.92</v>
      </c>
      <c r="L34" s="42">
        <f>321.7-53.1+112.7</f>
        <v>381.29999999999995</v>
      </c>
      <c r="M34" s="42"/>
      <c r="N34" s="40">
        <v>630.1</v>
      </c>
      <c r="O34" s="43">
        <f t="shared" si="1"/>
        <v>636.70000000000005</v>
      </c>
      <c r="P34" s="40">
        <v>337</v>
      </c>
      <c r="Q34" s="40"/>
      <c r="R34" s="40">
        <f>353.3-162.1+108.5</f>
        <v>299.70000000000005</v>
      </c>
      <c r="S34" s="76">
        <f t="shared" si="2"/>
        <v>3204.2200000000003</v>
      </c>
      <c r="T34" s="35" t="s">
        <v>96</v>
      </c>
      <c r="U34" s="34" t="s">
        <v>90</v>
      </c>
      <c r="V34" s="35" t="s">
        <v>77</v>
      </c>
      <c r="W34" s="35" t="s">
        <v>29</v>
      </c>
      <c r="X34" s="34" t="s">
        <v>29</v>
      </c>
      <c r="Y34" s="77" t="e">
        <f>#REF!-H34</f>
        <v>#REF!</v>
      </c>
      <c r="Z34" s="78" t="e">
        <f>#REF!-J34</f>
        <v>#REF!</v>
      </c>
      <c r="AA34" s="79" t="e">
        <f>#REF!-L34</f>
        <v>#REF!</v>
      </c>
      <c r="AB34" s="78" t="e">
        <f>#REF!-N34</f>
        <v>#REF!</v>
      </c>
      <c r="AC34" s="77" t="e">
        <f>(#REF!+#REF!)-S34</f>
        <v>#REF!</v>
      </c>
      <c r="AD34" s="80" t="e">
        <f>AC34/(#REF!+#REF!)*100</f>
        <v>#REF!</v>
      </c>
      <c r="AG34" s="81"/>
      <c r="AH34" s="33" t="s">
        <v>34</v>
      </c>
    </row>
    <row r="35" spans="1:34" s="69" customFormat="1" x14ac:dyDescent="0.3">
      <c r="A35" s="75">
        <v>31</v>
      </c>
      <c r="B35" s="34" t="s">
        <v>26</v>
      </c>
      <c r="C35" s="34" t="s">
        <v>87</v>
      </c>
      <c r="D35" s="35" t="s">
        <v>97</v>
      </c>
      <c r="E35" s="35" t="s">
        <v>29</v>
      </c>
      <c r="F35" s="36" t="s">
        <v>30</v>
      </c>
      <c r="G35" s="37"/>
      <c r="H35" s="105">
        <f t="shared" si="0"/>
        <v>7899.9</v>
      </c>
      <c r="I35" s="39"/>
      <c r="J35" s="40">
        <v>6221.7</v>
      </c>
      <c r="K35" s="41">
        <f t="shared" si="3"/>
        <v>6221.7</v>
      </c>
      <c r="L35" s="106">
        <f>244.9+78.1+106.4</f>
        <v>429.4</v>
      </c>
      <c r="M35" s="106">
        <f>78.1+106.4</f>
        <v>184.5</v>
      </c>
      <c r="N35" s="40">
        <v>1440</v>
      </c>
      <c r="O35" s="39">
        <f t="shared" si="1"/>
        <v>1248.8</v>
      </c>
      <c r="P35" s="40">
        <v>849</v>
      </c>
      <c r="Q35" s="40">
        <v>27.6</v>
      </c>
      <c r="R35" s="40">
        <v>372.2</v>
      </c>
      <c r="S35" s="76">
        <f t="shared" si="2"/>
        <v>6651.0999999999995</v>
      </c>
      <c r="T35" s="35" t="s">
        <v>98</v>
      </c>
      <c r="U35" s="34" t="s">
        <v>90</v>
      </c>
      <c r="V35" s="35" t="s">
        <v>83</v>
      </c>
      <c r="W35" s="35" t="s">
        <v>29</v>
      </c>
      <c r="X35" s="34" t="s">
        <v>29</v>
      </c>
      <c r="Y35" s="77" t="e">
        <f>#REF!-H35</f>
        <v>#REF!</v>
      </c>
      <c r="Z35" s="78" t="e">
        <f>#REF!-J35</f>
        <v>#REF!</v>
      </c>
      <c r="AA35" s="79" t="e">
        <f>#REF!-L35</f>
        <v>#REF!</v>
      </c>
      <c r="AB35" s="78" t="e">
        <f>#REF!-N35</f>
        <v>#REF!</v>
      </c>
      <c r="AC35" s="77" t="e">
        <f>(#REF!+#REF!)-S35</f>
        <v>#REF!</v>
      </c>
      <c r="AD35" s="80" t="e">
        <f>AC35/(#REF!+#REF!)*100</f>
        <v>#REF!</v>
      </c>
      <c r="AG35" s="81"/>
      <c r="AH35" s="33" t="s">
        <v>34</v>
      </c>
    </row>
    <row r="36" spans="1:34" s="69" customFormat="1" x14ac:dyDescent="0.3">
      <c r="A36" s="101">
        <v>32</v>
      </c>
      <c r="B36" s="34" t="s">
        <v>26</v>
      </c>
      <c r="C36" s="34" t="s">
        <v>87</v>
      </c>
      <c r="D36" s="35" t="s">
        <v>85</v>
      </c>
      <c r="E36" s="35" t="s">
        <v>29</v>
      </c>
      <c r="F36" s="36" t="s">
        <v>30</v>
      </c>
      <c r="G36" s="37" t="s">
        <v>31</v>
      </c>
      <c r="H36" s="38">
        <f t="shared" si="0"/>
        <v>962.47</v>
      </c>
      <c r="I36" s="39"/>
      <c r="J36" s="40">
        <v>744.77</v>
      </c>
      <c r="K36" s="41">
        <f t="shared" si="3"/>
        <v>744.77</v>
      </c>
      <c r="L36" s="42">
        <v>126.7</v>
      </c>
      <c r="M36" s="42"/>
      <c r="N36" s="40">
        <v>91</v>
      </c>
      <c r="O36" s="43">
        <f t="shared" si="1"/>
        <v>91</v>
      </c>
      <c r="P36" s="40">
        <v>91</v>
      </c>
      <c r="Q36" s="40"/>
      <c r="R36" s="40"/>
      <c r="S36" s="76">
        <f t="shared" si="2"/>
        <v>871.47</v>
      </c>
      <c r="T36" s="35" t="s">
        <v>99</v>
      </c>
      <c r="U36" s="34" t="s">
        <v>90</v>
      </c>
      <c r="V36" s="35" t="s">
        <v>85</v>
      </c>
      <c r="W36" s="35" t="s">
        <v>29</v>
      </c>
      <c r="X36" s="34" t="s">
        <v>29</v>
      </c>
      <c r="Y36" s="77" t="e">
        <f>#REF!-H36</f>
        <v>#REF!</v>
      </c>
      <c r="Z36" s="78" t="e">
        <f>#REF!-J36</f>
        <v>#REF!</v>
      </c>
      <c r="AA36" s="79" t="e">
        <f>#REF!-L36</f>
        <v>#REF!</v>
      </c>
      <c r="AB36" s="78" t="e">
        <f>#REF!-N36</f>
        <v>#REF!</v>
      </c>
      <c r="AC36" s="77" t="e">
        <f>(#REF!+#REF!)-S36</f>
        <v>#REF!</v>
      </c>
      <c r="AD36" s="80" t="e">
        <f>AC36/(#REF!+#REF!)*100</f>
        <v>#REF!</v>
      </c>
      <c r="AG36" s="81"/>
      <c r="AH36" s="33" t="s">
        <v>34</v>
      </c>
    </row>
    <row r="37" spans="1:34" s="69" customFormat="1" x14ac:dyDescent="0.3">
      <c r="A37" s="75">
        <v>33</v>
      </c>
      <c r="B37" s="34" t="s">
        <v>26</v>
      </c>
      <c r="C37" s="34" t="s">
        <v>87</v>
      </c>
      <c r="D37" s="35" t="s">
        <v>100</v>
      </c>
      <c r="E37" s="35" t="s">
        <v>29</v>
      </c>
      <c r="F37" s="36" t="s">
        <v>56</v>
      </c>
      <c r="G37" s="37" t="s">
        <v>31</v>
      </c>
      <c r="H37" s="38">
        <f t="shared" si="0"/>
        <v>624.06999999999994</v>
      </c>
      <c r="I37" s="39"/>
      <c r="J37" s="40">
        <v>443.27</v>
      </c>
      <c r="K37" s="41">
        <f t="shared" si="3"/>
        <v>443.27</v>
      </c>
      <c r="L37" s="42">
        <v>0</v>
      </c>
      <c r="M37" s="42"/>
      <c r="N37" s="42">
        <v>226.8</v>
      </c>
      <c r="O37" s="43">
        <f t="shared" si="1"/>
        <v>180.8</v>
      </c>
      <c r="P37" s="42">
        <v>68</v>
      </c>
      <c r="Q37" s="42"/>
      <c r="R37" s="42">
        <v>112.8</v>
      </c>
      <c r="S37" s="76">
        <f t="shared" si="2"/>
        <v>443.27</v>
      </c>
      <c r="T37" s="35" t="s">
        <v>101</v>
      </c>
      <c r="U37" s="34" t="s">
        <v>90</v>
      </c>
      <c r="V37" s="35" t="s">
        <v>100</v>
      </c>
      <c r="W37" s="35" t="s">
        <v>29</v>
      </c>
      <c r="X37" s="34" t="s">
        <v>29</v>
      </c>
      <c r="Y37" s="77" t="e">
        <f>#REF!-H37</f>
        <v>#REF!</v>
      </c>
      <c r="Z37" s="78" t="e">
        <f>#REF!-J37</f>
        <v>#REF!</v>
      </c>
      <c r="AA37" s="79" t="e">
        <f>#REF!-L37</f>
        <v>#REF!</v>
      </c>
      <c r="AB37" s="78" t="e">
        <f>#REF!-N37</f>
        <v>#REF!</v>
      </c>
      <c r="AC37" s="77" t="e">
        <f>(#REF!+#REF!)-S37</f>
        <v>#REF!</v>
      </c>
      <c r="AD37" s="80" t="e">
        <f>AC37/(#REF!+#REF!)*100</f>
        <v>#REF!</v>
      </c>
      <c r="AG37" s="81"/>
      <c r="AH37" s="33" t="s">
        <v>34</v>
      </c>
    </row>
    <row r="38" spans="1:34" s="69" customFormat="1" x14ac:dyDescent="0.3">
      <c r="A38" s="75">
        <v>34</v>
      </c>
      <c r="B38" s="34" t="s">
        <v>26</v>
      </c>
      <c r="C38" s="34" t="s">
        <v>87</v>
      </c>
      <c r="D38" s="35" t="s">
        <v>100</v>
      </c>
      <c r="E38" s="35" t="s">
        <v>102</v>
      </c>
      <c r="F38" s="36" t="s">
        <v>103</v>
      </c>
      <c r="G38" s="37" t="s">
        <v>31</v>
      </c>
      <c r="H38" s="38">
        <f t="shared" si="0"/>
        <v>1196.67</v>
      </c>
      <c r="I38" s="39"/>
      <c r="J38" s="40">
        <v>776.47</v>
      </c>
      <c r="K38" s="41">
        <f t="shared" si="3"/>
        <v>776.47</v>
      </c>
      <c r="L38" s="42">
        <f>215.8-38.4</f>
        <v>177.4</v>
      </c>
      <c r="M38" s="42"/>
      <c r="N38" s="42">
        <v>336.7</v>
      </c>
      <c r="O38" s="43">
        <f t="shared" si="1"/>
        <v>242.8</v>
      </c>
      <c r="P38" s="42">
        <f>139</f>
        <v>139</v>
      </c>
      <c r="Q38" s="42">
        <v>26.8</v>
      </c>
      <c r="R38" s="42">
        <v>77</v>
      </c>
      <c r="S38" s="76">
        <f t="shared" si="2"/>
        <v>953.87</v>
      </c>
      <c r="T38" s="35" t="s">
        <v>104</v>
      </c>
      <c r="U38" s="34" t="s">
        <v>90</v>
      </c>
      <c r="V38" s="35" t="s">
        <v>100</v>
      </c>
      <c r="W38" s="35" t="s">
        <v>29</v>
      </c>
      <c r="X38" s="34" t="s">
        <v>29</v>
      </c>
      <c r="Y38" s="77" t="e">
        <f>#REF!-H38</f>
        <v>#REF!</v>
      </c>
      <c r="Z38" s="78" t="e">
        <f>#REF!-J38</f>
        <v>#REF!</v>
      </c>
      <c r="AA38" s="79" t="e">
        <f>#REF!-L38</f>
        <v>#REF!</v>
      </c>
      <c r="AB38" s="78" t="e">
        <f>#REF!-N38</f>
        <v>#REF!</v>
      </c>
      <c r="AC38" s="77" t="e">
        <f>(#REF!+#REF!)-S38</f>
        <v>#REF!</v>
      </c>
      <c r="AD38" s="80" t="e">
        <f>AC38/(#REF!+#REF!)*100</f>
        <v>#REF!</v>
      </c>
      <c r="AG38" s="81"/>
      <c r="AH38" s="33" t="s">
        <v>34</v>
      </c>
    </row>
    <row r="39" spans="1:34" s="69" customFormat="1" x14ac:dyDescent="0.3">
      <c r="A39" s="101">
        <v>35</v>
      </c>
      <c r="B39" s="34" t="s">
        <v>26</v>
      </c>
      <c r="C39" s="34" t="s">
        <v>87</v>
      </c>
      <c r="D39" s="35" t="s">
        <v>105</v>
      </c>
      <c r="E39" s="35" t="s">
        <v>29</v>
      </c>
      <c r="F39" s="36" t="s">
        <v>30</v>
      </c>
      <c r="G39" s="37" t="s">
        <v>31</v>
      </c>
      <c r="H39" s="38">
        <f t="shared" si="0"/>
        <v>982.95999999999992</v>
      </c>
      <c r="I39" s="39"/>
      <c r="J39" s="40">
        <v>708.06</v>
      </c>
      <c r="K39" s="41">
        <f t="shared" si="3"/>
        <v>708.06</v>
      </c>
      <c r="L39" s="42">
        <v>162.1</v>
      </c>
      <c r="M39" s="42"/>
      <c r="N39" s="40">
        <v>129.80000000000001</v>
      </c>
      <c r="O39" s="43">
        <f t="shared" si="1"/>
        <v>112.8</v>
      </c>
      <c r="P39" s="40">
        <v>91</v>
      </c>
      <c r="Q39" s="40">
        <v>21.8</v>
      </c>
      <c r="R39" s="40"/>
      <c r="S39" s="76">
        <f t="shared" si="2"/>
        <v>870.16</v>
      </c>
      <c r="T39" s="35" t="s">
        <v>106</v>
      </c>
      <c r="U39" s="34" t="s">
        <v>90</v>
      </c>
      <c r="V39" s="35" t="s">
        <v>105</v>
      </c>
      <c r="W39" s="35" t="s">
        <v>29</v>
      </c>
      <c r="X39" s="34" t="s">
        <v>29</v>
      </c>
      <c r="Y39" s="77" t="e">
        <f>#REF!-H39</f>
        <v>#REF!</v>
      </c>
      <c r="Z39" s="78" t="e">
        <f>#REF!-J39</f>
        <v>#REF!</v>
      </c>
      <c r="AA39" s="79" t="e">
        <f>#REF!-L39</f>
        <v>#REF!</v>
      </c>
      <c r="AB39" s="78" t="e">
        <f>#REF!-N39</f>
        <v>#REF!</v>
      </c>
      <c r="AC39" s="77" t="e">
        <f>(#REF!+#REF!)-S39</f>
        <v>#REF!</v>
      </c>
      <c r="AD39" s="80" t="e">
        <f>AC39/(#REF!+#REF!)*100</f>
        <v>#REF!</v>
      </c>
      <c r="AG39" s="81"/>
      <c r="AH39" s="33" t="s">
        <v>34</v>
      </c>
    </row>
    <row r="40" spans="1:34" s="69" customFormat="1" x14ac:dyDescent="0.3">
      <c r="A40" s="75">
        <v>36</v>
      </c>
      <c r="B40" s="34" t="s">
        <v>26</v>
      </c>
      <c r="C40" s="34" t="s">
        <v>87</v>
      </c>
      <c r="D40" s="35" t="s">
        <v>107</v>
      </c>
      <c r="E40" s="35" t="s">
        <v>29</v>
      </c>
      <c r="F40" s="36" t="s">
        <v>30</v>
      </c>
      <c r="G40" s="37" t="s">
        <v>31</v>
      </c>
      <c r="H40" s="38">
        <f t="shared" si="0"/>
        <v>7056.2699999999995</v>
      </c>
      <c r="I40" s="39"/>
      <c r="J40" s="40">
        <v>5981.87</v>
      </c>
      <c r="K40" s="41">
        <f t="shared" si="3"/>
        <v>5981.87</v>
      </c>
      <c r="L40" s="106">
        <f>72.5+102.5</f>
        <v>175</v>
      </c>
      <c r="M40" s="106">
        <f>72.5+102.5</f>
        <v>175</v>
      </c>
      <c r="N40" s="40">
        <v>763.5</v>
      </c>
      <c r="O40" s="43">
        <f t="shared" si="1"/>
        <v>899.4</v>
      </c>
      <c r="P40" s="40">
        <v>733</v>
      </c>
      <c r="Q40" s="40">
        <v>36</v>
      </c>
      <c r="R40" s="40">
        <f>97.7+32.7</f>
        <v>130.4</v>
      </c>
      <c r="S40" s="76">
        <f t="shared" si="2"/>
        <v>6156.87</v>
      </c>
      <c r="T40" s="35" t="s">
        <v>108</v>
      </c>
      <c r="U40" s="34" t="s">
        <v>90</v>
      </c>
      <c r="V40" s="35" t="s">
        <v>107</v>
      </c>
      <c r="W40" s="35" t="s">
        <v>29</v>
      </c>
      <c r="X40" s="34" t="s">
        <v>29</v>
      </c>
      <c r="Y40" s="77" t="e">
        <f>#REF!-H40</f>
        <v>#REF!</v>
      </c>
      <c r="Z40" s="78" t="e">
        <f>#REF!-J40</f>
        <v>#REF!</v>
      </c>
      <c r="AA40" s="79" t="e">
        <f>#REF!-L40</f>
        <v>#REF!</v>
      </c>
      <c r="AB40" s="78" t="e">
        <f>#REF!-N40</f>
        <v>#REF!</v>
      </c>
      <c r="AC40" s="77" t="e">
        <f>(#REF!+#REF!)-S40</f>
        <v>#REF!</v>
      </c>
      <c r="AD40" s="80" t="e">
        <f>AC40/(#REF!+#REF!)*100</f>
        <v>#REF!</v>
      </c>
      <c r="AG40" s="81"/>
      <c r="AH40" s="33" t="s">
        <v>34</v>
      </c>
    </row>
    <row r="41" spans="1:34" s="69" customFormat="1" x14ac:dyDescent="0.3">
      <c r="A41" s="75">
        <v>37</v>
      </c>
      <c r="B41" s="34" t="s">
        <v>26</v>
      </c>
      <c r="C41" s="34" t="s">
        <v>87</v>
      </c>
      <c r="D41" s="35" t="s">
        <v>109</v>
      </c>
      <c r="E41" s="35" t="s">
        <v>29</v>
      </c>
      <c r="F41" s="36" t="s">
        <v>30</v>
      </c>
      <c r="G41" s="37"/>
      <c r="H41" s="38">
        <f t="shared" si="0"/>
        <v>3168.81</v>
      </c>
      <c r="I41" s="39"/>
      <c r="J41" s="40">
        <v>2431.41</v>
      </c>
      <c r="K41" s="41">
        <f t="shared" si="3"/>
        <v>2431.41</v>
      </c>
      <c r="L41" s="42">
        <v>381.9</v>
      </c>
      <c r="M41" s="42"/>
      <c r="N41" s="40">
        <v>385.3</v>
      </c>
      <c r="O41" s="43">
        <f t="shared" si="1"/>
        <v>355.5</v>
      </c>
      <c r="P41" s="40">
        <v>280</v>
      </c>
      <c r="Q41" s="40">
        <v>75.5</v>
      </c>
      <c r="R41" s="40">
        <v>0</v>
      </c>
      <c r="S41" s="76">
        <f t="shared" si="2"/>
        <v>2813.31</v>
      </c>
      <c r="T41" s="35" t="s">
        <v>110</v>
      </c>
      <c r="U41" s="34" t="s">
        <v>90</v>
      </c>
      <c r="V41" s="35" t="s">
        <v>109</v>
      </c>
      <c r="W41" s="35" t="s">
        <v>29</v>
      </c>
      <c r="X41" s="34" t="s">
        <v>29</v>
      </c>
      <c r="Y41" s="77" t="e">
        <f>#REF!-H41</f>
        <v>#REF!</v>
      </c>
      <c r="Z41" s="78" t="e">
        <f>#REF!-J41</f>
        <v>#REF!</v>
      </c>
      <c r="AA41" s="79" t="e">
        <f>#REF!-L41</f>
        <v>#REF!</v>
      </c>
      <c r="AB41" s="78" t="e">
        <f>#REF!-N41</f>
        <v>#REF!</v>
      </c>
      <c r="AC41" s="77" t="e">
        <f>(#REF!+#REF!)-S41</f>
        <v>#REF!</v>
      </c>
      <c r="AD41" s="80" t="e">
        <f>AC41/(#REF!+#REF!)*100</f>
        <v>#REF!</v>
      </c>
      <c r="AG41" s="81"/>
      <c r="AH41" s="33" t="s">
        <v>34</v>
      </c>
    </row>
    <row r="42" spans="1:34" s="69" customFormat="1" x14ac:dyDescent="0.3">
      <c r="A42" s="101">
        <v>38</v>
      </c>
      <c r="B42" s="34" t="s">
        <v>26</v>
      </c>
      <c r="C42" s="34" t="s">
        <v>87</v>
      </c>
      <c r="D42" s="35" t="s">
        <v>111</v>
      </c>
      <c r="E42" s="35" t="s">
        <v>29</v>
      </c>
      <c r="F42" s="36" t="s">
        <v>30</v>
      </c>
      <c r="G42" s="37" t="s">
        <v>31</v>
      </c>
      <c r="H42" s="38">
        <f t="shared" si="0"/>
        <v>7883.5700000000006</v>
      </c>
      <c r="I42" s="39"/>
      <c r="J42" s="40">
        <v>5545.87</v>
      </c>
      <c r="K42" s="41">
        <f t="shared" si="3"/>
        <v>5545.87</v>
      </c>
      <c r="L42" s="42">
        <f>1235+10.7-0.2-0.1</f>
        <v>1245.4000000000001</v>
      </c>
      <c r="M42" s="42"/>
      <c r="N42" s="40">
        <v>1092.3</v>
      </c>
      <c r="O42" s="43">
        <f t="shared" si="1"/>
        <v>1092.3</v>
      </c>
      <c r="P42" s="40">
        <v>879.4</v>
      </c>
      <c r="Q42" s="40">
        <v>23.2</v>
      </c>
      <c r="R42" s="40">
        <v>189.7</v>
      </c>
      <c r="S42" s="76">
        <f t="shared" si="2"/>
        <v>6791.27</v>
      </c>
      <c r="T42" s="35" t="s">
        <v>112</v>
      </c>
      <c r="U42" s="34" t="s">
        <v>90</v>
      </c>
      <c r="V42" s="35" t="s">
        <v>111</v>
      </c>
      <c r="W42" s="35" t="s">
        <v>29</v>
      </c>
      <c r="X42" s="34" t="s">
        <v>29</v>
      </c>
      <c r="Y42" s="77" t="e">
        <f>#REF!-H42</f>
        <v>#REF!</v>
      </c>
      <c r="Z42" s="78" t="e">
        <f>#REF!-J42</f>
        <v>#REF!</v>
      </c>
      <c r="AA42" s="79" t="e">
        <f>#REF!-L42</f>
        <v>#REF!</v>
      </c>
      <c r="AB42" s="78" t="e">
        <f>#REF!-N42</f>
        <v>#REF!</v>
      </c>
      <c r="AC42" s="77" t="e">
        <f>(#REF!+#REF!)-S42</f>
        <v>#REF!</v>
      </c>
      <c r="AD42" s="80" t="e">
        <f>AC42/(#REF!+#REF!)*100</f>
        <v>#REF!</v>
      </c>
      <c r="AG42" s="81"/>
      <c r="AH42" s="33" t="s">
        <v>34</v>
      </c>
    </row>
    <row r="43" spans="1:34" s="69" customFormat="1" ht="21" x14ac:dyDescent="0.3">
      <c r="A43" s="75">
        <v>39</v>
      </c>
      <c r="B43" s="82" t="s">
        <v>26</v>
      </c>
      <c r="C43" s="82" t="s">
        <v>87</v>
      </c>
      <c r="D43" s="83" t="s">
        <v>113</v>
      </c>
      <c r="E43" s="83" t="s">
        <v>29</v>
      </c>
      <c r="F43" s="84" t="s">
        <v>30</v>
      </c>
      <c r="G43" s="85" t="s">
        <v>31</v>
      </c>
      <c r="H43" s="86">
        <f t="shared" si="0"/>
        <v>6580.4</v>
      </c>
      <c r="I43" s="87"/>
      <c r="J43" s="88">
        <v>4270.7</v>
      </c>
      <c r="K43" s="89">
        <f t="shared" si="3"/>
        <v>4270.7</v>
      </c>
      <c r="L43" s="90">
        <f>853.6+163.2</f>
        <v>1016.8</v>
      </c>
      <c r="M43" s="90">
        <v>163.19999999999999</v>
      </c>
      <c r="N43" s="88">
        <v>1214.2</v>
      </c>
      <c r="O43" s="91">
        <f t="shared" si="1"/>
        <v>1292.9000000000001</v>
      </c>
      <c r="P43" s="88">
        <v>795</v>
      </c>
      <c r="Q43" s="88">
        <f>88.7+184.5</f>
        <v>273.2</v>
      </c>
      <c r="R43" s="88">
        <f>49.7+13.6+161.4</f>
        <v>224.70000000000002</v>
      </c>
      <c r="S43" s="92">
        <f t="shared" si="2"/>
        <v>5287.5</v>
      </c>
      <c r="T43" s="93" t="s">
        <v>57</v>
      </c>
      <c r="U43" s="82" t="s">
        <v>90</v>
      </c>
      <c r="V43" s="83" t="s">
        <v>113</v>
      </c>
      <c r="W43" s="83" t="s">
        <v>29</v>
      </c>
      <c r="X43" s="82" t="s">
        <v>29</v>
      </c>
      <c r="Y43" s="94" t="e">
        <f>#REF!-H43</f>
        <v>#REF!</v>
      </c>
      <c r="Z43" s="95" t="e">
        <f>#REF!-J43</f>
        <v>#REF!</v>
      </c>
      <c r="AA43" s="96" t="e">
        <f>#REF!-L43</f>
        <v>#REF!</v>
      </c>
      <c r="AB43" s="95" t="e">
        <f>#REF!-N43</f>
        <v>#REF!</v>
      </c>
      <c r="AC43" s="94" t="e">
        <f>(#REF!+#REF!)-S43</f>
        <v>#REF!</v>
      </c>
      <c r="AD43" s="97" t="e">
        <f>AC43/(#REF!+#REF!)*100</f>
        <v>#REF!</v>
      </c>
      <c r="AE43" s="98"/>
      <c r="AF43" s="98"/>
      <c r="AG43" s="99"/>
      <c r="AH43" s="100" t="s">
        <v>114</v>
      </c>
    </row>
    <row r="44" spans="1:34" s="69" customFormat="1" ht="21" x14ac:dyDescent="0.3">
      <c r="A44" s="75">
        <v>40</v>
      </c>
      <c r="B44" s="82" t="s">
        <v>26</v>
      </c>
      <c r="C44" s="82" t="s">
        <v>87</v>
      </c>
      <c r="D44" s="83" t="s">
        <v>115</v>
      </c>
      <c r="E44" s="83" t="s">
        <v>29</v>
      </c>
      <c r="F44" s="84" t="s">
        <v>30</v>
      </c>
      <c r="G44" s="85" t="s">
        <v>31</v>
      </c>
      <c r="H44" s="86">
        <f t="shared" si="0"/>
        <v>808.68000000000006</v>
      </c>
      <c r="I44" s="87">
        <v>26</v>
      </c>
      <c r="J44" s="88">
        <v>509.68</v>
      </c>
      <c r="K44" s="89">
        <f t="shared" si="3"/>
        <v>535.68000000000006</v>
      </c>
      <c r="L44" s="90">
        <v>91</v>
      </c>
      <c r="M44" s="90"/>
      <c r="N44" s="88">
        <v>99</v>
      </c>
      <c r="O44" s="91">
        <f t="shared" si="1"/>
        <v>182</v>
      </c>
      <c r="P44" s="88">
        <v>99</v>
      </c>
      <c r="Q44" s="88"/>
      <c r="R44" s="88">
        <v>83</v>
      </c>
      <c r="S44" s="92">
        <f t="shared" si="2"/>
        <v>626.68000000000006</v>
      </c>
      <c r="T44" s="93" t="s">
        <v>57</v>
      </c>
      <c r="U44" s="82" t="s">
        <v>90</v>
      </c>
      <c r="V44" s="83" t="s">
        <v>115</v>
      </c>
      <c r="W44" s="83" t="s">
        <v>29</v>
      </c>
      <c r="X44" s="82" t="s">
        <v>29</v>
      </c>
      <c r="Y44" s="94" t="e">
        <f>#REF!-H44</f>
        <v>#REF!</v>
      </c>
      <c r="Z44" s="95" t="e">
        <f>#REF!-J44</f>
        <v>#REF!</v>
      </c>
      <c r="AA44" s="96" t="e">
        <f>#REF!-L44</f>
        <v>#REF!</v>
      </c>
      <c r="AB44" s="95" t="e">
        <f>#REF!-N44</f>
        <v>#REF!</v>
      </c>
      <c r="AC44" s="94" t="e">
        <f>(#REF!+#REF!)-S44</f>
        <v>#REF!</v>
      </c>
      <c r="AD44" s="97" t="e">
        <f>AC44/(#REF!+#REF!)*100</f>
        <v>#REF!</v>
      </c>
      <c r="AE44" s="98"/>
      <c r="AF44" s="98"/>
      <c r="AG44" s="99"/>
      <c r="AH44" s="100" t="s">
        <v>114</v>
      </c>
    </row>
    <row r="45" spans="1:34" x14ac:dyDescent="0.3">
      <c r="A45" s="75">
        <v>41</v>
      </c>
      <c r="B45" s="34" t="s">
        <v>26</v>
      </c>
      <c r="C45" s="34" t="s">
        <v>87</v>
      </c>
      <c r="D45" s="35" t="s">
        <v>116</v>
      </c>
      <c r="E45" s="35" t="s">
        <v>29</v>
      </c>
      <c r="F45" s="36" t="s">
        <v>30</v>
      </c>
      <c r="G45" s="37" t="s">
        <v>31</v>
      </c>
      <c r="H45" s="38">
        <f t="shared" si="0"/>
        <v>1706.12</v>
      </c>
      <c r="I45" s="39"/>
      <c r="J45" s="40">
        <v>1339.62</v>
      </c>
      <c r="K45" s="41">
        <f t="shared" si="3"/>
        <v>1339.62</v>
      </c>
      <c r="L45" s="42">
        <v>107.5</v>
      </c>
      <c r="M45" s="42"/>
      <c r="N45" s="40">
        <v>259</v>
      </c>
      <c r="O45" s="43">
        <f t="shared" si="1"/>
        <v>259</v>
      </c>
      <c r="P45" s="40">
        <v>259</v>
      </c>
      <c r="Q45" s="40"/>
      <c r="R45" s="40"/>
      <c r="S45" s="44">
        <f t="shared" si="2"/>
        <v>1447.12</v>
      </c>
      <c r="T45" s="35" t="s">
        <v>117</v>
      </c>
      <c r="U45" s="70" t="s">
        <v>90</v>
      </c>
      <c r="V45" s="71" t="s">
        <v>116</v>
      </c>
      <c r="W45" s="71" t="s">
        <v>29</v>
      </c>
      <c r="X45" s="70" t="s">
        <v>29</v>
      </c>
      <c r="Y45" s="72" t="e">
        <f>#REF!-H45</f>
        <v>#REF!</v>
      </c>
      <c r="Z45" s="73" t="e">
        <f>#REF!-J45</f>
        <v>#REF!</v>
      </c>
      <c r="AA45" s="74" t="e">
        <f>#REF!-L45</f>
        <v>#REF!</v>
      </c>
      <c r="AB45" s="73" t="e">
        <f>#REF!-N45</f>
        <v>#REF!</v>
      </c>
      <c r="AC45" s="72" t="e">
        <f>(#REF!+#REF!)-S45</f>
        <v>#REF!</v>
      </c>
      <c r="AD45" s="50" t="e">
        <f>AC45/(#REF!+#REF!)*100</f>
        <v>#REF!</v>
      </c>
      <c r="AH45" s="33" t="s">
        <v>34</v>
      </c>
    </row>
    <row r="46" spans="1:34" x14ac:dyDescent="0.3">
      <c r="A46" s="101">
        <v>42</v>
      </c>
      <c r="B46" s="34" t="s">
        <v>26</v>
      </c>
      <c r="C46" s="34" t="s">
        <v>87</v>
      </c>
      <c r="D46" s="35" t="s">
        <v>118</v>
      </c>
      <c r="E46" s="35" t="s">
        <v>29</v>
      </c>
      <c r="F46" s="36" t="s">
        <v>30</v>
      </c>
      <c r="G46" s="37" t="s">
        <v>31</v>
      </c>
      <c r="H46" s="38">
        <f t="shared" si="0"/>
        <v>1495.7000000000003</v>
      </c>
      <c r="I46" s="39"/>
      <c r="J46" s="40">
        <v>1083.7</v>
      </c>
      <c r="K46" s="41">
        <f t="shared" si="3"/>
        <v>1083.7</v>
      </c>
      <c r="L46" s="42">
        <v>63.4</v>
      </c>
      <c r="M46" s="42"/>
      <c r="N46" s="40">
        <v>198</v>
      </c>
      <c r="O46" s="43">
        <f t="shared" si="1"/>
        <v>348.6</v>
      </c>
      <c r="P46" s="40">
        <v>198</v>
      </c>
      <c r="Q46" s="40">
        <v>22.3</v>
      </c>
      <c r="R46" s="40">
        <v>128.30000000000001</v>
      </c>
      <c r="S46" s="44">
        <f t="shared" si="2"/>
        <v>1147.1000000000001</v>
      </c>
      <c r="T46" s="35" t="s">
        <v>119</v>
      </c>
      <c r="U46" s="70" t="s">
        <v>90</v>
      </c>
      <c r="V46" s="71" t="s">
        <v>118</v>
      </c>
      <c r="W46" s="71" t="s">
        <v>29</v>
      </c>
      <c r="X46" s="70" t="s">
        <v>29</v>
      </c>
      <c r="Y46" s="72" t="e">
        <f>#REF!-H46</f>
        <v>#REF!</v>
      </c>
      <c r="Z46" s="73" t="e">
        <f>#REF!-J46</f>
        <v>#REF!</v>
      </c>
      <c r="AA46" s="74" t="e">
        <f>#REF!-L46</f>
        <v>#REF!</v>
      </c>
      <c r="AB46" s="73" t="e">
        <f>#REF!-N46</f>
        <v>#REF!</v>
      </c>
      <c r="AC46" s="72" t="e">
        <f>(#REF!+#REF!)-S46</f>
        <v>#REF!</v>
      </c>
      <c r="AD46" s="50" t="e">
        <f>AC46/(#REF!+#REF!)*100</f>
        <v>#REF!</v>
      </c>
      <c r="AH46" s="33" t="s">
        <v>34</v>
      </c>
    </row>
    <row r="47" spans="1:34" x14ac:dyDescent="0.3">
      <c r="A47" s="75">
        <v>43</v>
      </c>
      <c r="B47" s="34" t="s">
        <v>26</v>
      </c>
      <c r="C47" s="34" t="s">
        <v>87</v>
      </c>
      <c r="D47" s="35" t="s">
        <v>120</v>
      </c>
      <c r="E47" s="35" t="s">
        <v>29</v>
      </c>
      <c r="F47" s="36" t="s">
        <v>30</v>
      </c>
      <c r="G47" s="37" t="s">
        <v>31</v>
      </c>
      <c r="H47" s="38">
        <f t="shared" si="0"/>
        <v>5055.8900000000003</v>
      </c>
      <c r="I47" s="39"/>
      <c r="J47" s="40">
        <f>4133.84-2+35.55</f>
        <v>4167.3900000000003</v>
      </c>
      <c r="K47" s="41">
        <f t="shared" si="3"/>
        <v>4167.3900000000003</v>
      </c>
      <c r="L47" s="42">
        <v>134.5</v>
      </c>
      <c r="M47" s="42"/>
      <c r="N47" s="40">
        <v>754</v>
      </c>
      <c r="O47" s="43">
        <f t="shared" si="1"/>
        <v>754</v>
      </c>
      <c r="P47" s="40">
        <v>754</v>
      </c>
      <c r="Q47" s="40"/>
      <c r="R47" s="40"/>
      <c r="S47" s="44">
        <f t="shared" si="2"/>
        <v>4301.8900000000003</v>
      </c>
      <c r="T47" s="35" t="s">
        <v>121</v>
      </c>
      <c r="U47" s="70" t="s">
        <v>90</v>
      </c>
      <c r="V47" s="71" t="s">
        <v>120</v>
      </c>
      <c r="W47" s="71" t="s">
        <v>29</v>
      </c>
      <c r="X47" s="70" t="s">
        <v>29</v>
      </c>
      <c r="Y47" s="72" t="e">
        <f>#REF!-H47</f>
        <v>#REF!</v>
      </c>
      <c r="Z47" s="73" t="e">
        <f>#REF!-J47</f>
        <v>#REF!</v>
      </c>
      <c r="AA47" s="74" t="e">
        <f>#REF!-L47</f>
        <v>#REF!</v>
      </c>
      <c r="AB47" s="73" t="e">
        <f>#REF!-N47</f>
        <v>#REF!</v>
      </c>
      <c r="AC47" s="72" t="e">
        <f>(#REF!+#REF!)-S47</f>
        <v>#REF!</v>
      </c>
      <c r="AD47" s="50" t="e">
        <f>AC47/(#REF!+#REF!)*100</f>
        <v>#REF!</v>
      </c>
      <c r="AH47" s="33" t="s">
        <v>34</v>
      </c>
    </row>
    <row r="48" spans="1:34" x14ac:dyDescent="0.3">
      <c r="A48" s="75">
        <v>44</v>
      </c>
      <c r="B48" s="34" t="s">
        <v>26</v>
      </c>
      <c r="C48" s="34" t="s">
        <v>87</v>
      </c>
      <c r="D48" s="35" t="s">
        <v>122</v>
      </c>
      <c r="E48" s="35" t="s">
        <v>29</v>
      </c>
      <c r="F48" s="36" t="s">
        <v>30</v>
      </c>
      <c r="G48" s="37" t="s">
        <v>31</v>
      </c>
      <c r="H48" s="38">
        <f t="shared" si="0"/>
        <v>8130.0300000000007</v>
      </c>
      <c r="I48" s="39">
        <v>0</v>
      </c>
      <c r="J48" s="40">
        <f>6435.33+0.2</f>
        <v>6435.53</v>
      </c>
      <c r="K48" s="41">
        <f t="shared" si="3"/>
        <v>6435.53</v>
      </c>
      <c r="L48" s="42">
        <v>585.6</v>
      </c>
      <c r="M48" s="42"/>
      <c r="N48" s="40">
        <v>1260.26</v>
      </c>
      <c r="O48" s="43">
        <f t="shared" si="1"/>
        <v>1108.9000000000001</v>
      </c>
      <c r="P48" s="40">
        <v>1033</v>
      </c>
      <c r="Q48" s="40">
        <v>75.900000000000006</v>
      </c>
      <c r="R48" s="40"/>
      <c r="S48" s="44">
        <f t="shared" si="2"/>
        <v>7021.13</v>
      </c>
      <c r="T48" s="35" t="s">
        <v>123</v>
      </c>
      <c r="U48" s="70" t="s">
        <v>90</v>
      </c>
      <c r="V48" s="71" t="s">
        <v>122</v>
      </c>
      <c r="W48" s="71" t="s">
        <v>29</v>
      </c>
      <c r="X48" s="70" t="s">
        <v>29</v>
      </c>
      <c r="Y48" s="72" t="e">
        <f>#REF!-H48</f>
        <v>#REF!</v>
      </c>
      <c r="Z48" s="73" t="e">
        <f>#REF!-J48</f>
        <v>#REF!</v>
      </c>
      <c r="AA48" s="74" t="e">
        <f>#REF!-L48</f>
        <v>#REF!</v>
      </c>
      <c r="AB48" s="73" t="e">
        <f>#REF!-N48</f>
        <v>#REF!</v>
      </c>
      <c r="AC48" s="72" t="e">
        <f>(#REF!+#REF!)-S48</f>
        <v>#REF!</v>
      </c>
      <c r="AD48" s="50" t="e">
        <f>AC48/(#REF!+#REF!)*100</f>
        <v>#REF!</v>
      </c>
      <c r="AH48" s="33" t="s">
        <v>34</v>
      </c>
    </row>
    <row r="49" spans="1:34" x14ac:dyDescent="0.3">
      <c r="A49" s="101">
        <v>45</v>
      </c>
      <c r="B49" s="34" t="s">
        <v>26</v>
      </c>
      <c r="C49" s="34" t="s">
        <v>87</v>
      </c>
      <c r="D49" s="35" t="s">
        <v>124</v>
      </c>
      <c r="E49" s="35" t="s">
        <v>29</v>
      </c>
      <c r="F49" s="36" t="s">
        <v>30</v>
      </c>
      <c r="G49" s="37" t="s">
        <v>31</v>
      </c>
      <c r="H49" s="105">
        <f t="shared" si="0"/>
        <v>15296.060000000001</v>
      </c>
      <c r="I49" s="39"/>
      <c r="J49" s="40">
        <v>11988.86</v>
      </c>
      <c r="K49" s="41">
        <f t="shared" si="3"/>
        <v>11988.86</v>
      </c>
      <c r="L49" s="106">
        <f>529.3+25.1+66.5+146.6+99.4</f>
        <v>866.9</v>
      </c>
      <c r="M49" s="106">
        <f>24.2+146.6+66.5+99.4</f>
        <v>336.7</v>
      </c>
      <c r="N49" s="40">
        <v>2959.7</v>
      </c>
      <c r="O49" s="43">
        <f t="shared" si="1"/>
        <v>2440.3000000000002</v>
      </c>
      <c r="P49" s="40">
        <v>2075</v>
      </c>
      <c r="Q49" s="40">
        <v>166.8</v>
      </c>
      <c r="R49" s="40">
        <v>198.5</v>
      </c>
      <c r="S49" s="44">
        <f t="shared" si="2"/>
        <v>12855.76</v>
      </c>
      <c r="T49" s="35" t="s">
        <v>125</v>
      </c>
      <c r="U49" s="70" t="s">
        <v>90</v>
      </c>
      <c r="V49" s="71" t="s">
        <v>124</v>
      </c>
      <c r="W49" s="71" t="s">
        <v>29</v>
      </c>
      <c r="X49" s="70" t="s">
        <v>29</v>
      </c>
      <c r="Y49" s="72" t="e">
        <f>#REF!-H49</f>
        <v>#REF!</v>
      </c>
      <c r="Z49" s="73" t="e">
        <f>#REF!-J49</f>
        <v>#REF!</v>
      </c>
      <c r="AA49" s="74" t="e">
        <f>#REF!-L49</f>
        <v>#REF!</v>
      </c>
      <c r="AB49" s="73" t="e">
        <f>#REF!-N49</f>
        <v>#REF!</v>
      </c>
      <c r="AC49" s="72" t="e">
        <f>(#REF!+#REF!)-S49</f>
        <v>#REF!</v>
      </c>
      <c r="AD49" s="50" t="e">
        <f>AC49/(#REF!+#REF!)*100</f>
        <v>#REF!</v>
      </c>
      <c r="AH49" s="33" t="s">
        <v>34</v>
      </c>
    </row>
    <row r="50" spans="1:34" x14ac:dyDescent="0.3">
      <c r="A50" s="75">
        <v>46</v>
      </c>
      <c r="B50" s="34" t="s">
        <v>26</v>
      </c>
      <c r="C50" s="34" t="s">
        <v>87</v>
      </c>
      <c r="D50" s="35" t="s">
        <v>126</v>
      </c>
      <c r="E50" s="35" t="s">
        <v>29</v>
      </c>
      <c r="F50" s="36" t="s">
        <v>30</v>
      </c>
      <c r="G50" s="37" t="s">
        <v>31</v>
      </c>
      <c r="H50" s="38">
        <f t="shared" si="0"/>
        <v>2985.2999999999997</v>
      </c>
      <c r="I50" s="39"/>
      <c r="J50" s="40">
        <v>2258.6999999999998</v>
      </c>
      <c r="K50" s="41">
        <f t="shared" si="3"/>
        <v>2258.6999999999998</v>
      </c>
      <c r="L50" s="42">
        <v>360.9</v>
      </c>
      <c r="M50" s="42"/>
      <c r="N50" s="40">
        <v>312.39999999999998</v>
      </c>
      <c r="O50" s="43">
        <f t="shared" si="1"/>
        <v>365.7</v>
      </c>
      <c r="P50" s="40">
        <v>307</v>
      </c>
      <c r="Q50" s="40">
        <v>20.3</v>
      </c>
      <c r="R50" s="40">
        <v>38.4</v>
      </c>
      <c r="S50" s="44">
        <f t="shared" si="2"/>
        <v>2619.6</v>
      </c>
      <c r="T50" s="35" t="s">
        <v>127</v>
      </c>
      <c r="U50" s="70" t="s">
        <v>90</v>
      </c>
      <c r="V50" s="71" t="s">
        <v>126</v>
      </c>
      <c r="W50" s="71" t="s">
        <v>29</v>
      </c>
      <c r="X50" s="70" t="s">
        <v>29</v>
      </c>
      <c r="Y50" s="72" t="e">
        <f>#REF!-H50</f>
        <v>#REF!</v>
      </c>
      <c r="Z50" s="73" t="e">
        <f>#REF!-J50</f>
        <v>#REF!</v>
      </c>
      <c r="AA50" s="74" t="e">
        <f>#REF!-L50</f>
        <v>#REF!</v>
      </c>
      <c r="AB50" s="73" t="e">
        <f>#REF!-N50</f>
        <v>#REF!</v>
      </c>
      <c r="AC50" s="72" t="e">
        <f>(#REF!+#REF!)-S50</f>
        <v>#REF!</v>
      </c>
      <c r="AD50" s="50" t="e">
        <f>AC50/(#REF!+#REF!)*100</f>
        <v>#REF!</v>
      </c>
      <c r="AH50" s="33" t="s">
        <v>34</v>
      </c>
    </row>
    <row r="51" spans="1:34" s="69" customFormat="1" x14ac:dyDescent="0.3">
      <c r="A51" s="75">
        <v>47</v>
      </c>
      <c r="B51" s="34" t="s">
        <v>26</v>
      </c>
      <c r="C51" s="34" t="s">
        <v>87</v>
      </c>
      <c r="D51" s="35" t="s">
        <v>128</v>
      </c>
      <c r="E51" s="35" t="s">
        <v>29</v>
      </c>
      <c r="F51" s="36" t="s">
        <v>30</v>
      </c>
      <c r="G51" s="37" t="s">
        <v>31</v>
      </c>
      <c r="H51" s="38">
        <f t="shared" si="0"/>
        <v>333.1</v>
      </c>
      <c r="I51" s="39"/>
      <c r="J51" s="40">
        <v>295.60000000000002</v>
      </c>
      <c r="K51" s="41">
        <f t="shared" si="3"/>
        <v>295.60000000000002</v>
      </c>
      <c r="L51" s="42">
        <v>0</v>
      </c>
      <c r="M51" s="42"/>
      <c r="N51" s="40">
        <v>50</v>
      </c>
      <c r="O51" s="43">
        <f t="shared" si="1"/>
        <v>37.5</v>
      </c>
      <c r="P51" s="40">
        <v>37.5</v>
      </c>
      <c r="Q51" s="40"/>
      <c r="R51" s="40"/>
      <c r="S51" s="76">
        <f t="shared" si="2"/>
        <v>295.60000000000002</v>
      </c>
      <c r="T51" s="35" t="s">
        <v>129</v>
      </c>
      <c r="U51" s="34" t="s">
        <v>90</v>
      </c>
      <c r="V51" s="35" t="s">
        <v>128</v>
      </c>
      <c r="W51" s="35" t="s">
        <v>29</v>
      </c>
      <c r="X51" s="34" t="s">
        <v>29</v>
      </c>
      <c r="Y51" s="77" t="e">
        <f>#REF!-H51</f>
        <v>#REF!</v>
      </c>
      <c r="Z51" s="78" t="e">
        <f>#REF!-J51</f>
        <v>#REF!</v>
      </c>
      <c r="AA51" s="79" t="e">
        <f>#REF!-L51</f>
        <v>#REF!</v>
      </c>
      <c r="AB51" s="78" t="e">
        <f>#REF!-N51</f>
        <v>#REF!</v>
      </c>
      <c r="AC51" s="77" t="e">
        <f>(#REF!+#REF!)-S51</f>
        <v>#REF!</v>
      </c>
      <c r="AD51" s="80" t="e">
        <f>AC51/(#REF!+#REF!)*100</f>
        <v>#REF!</v>
      </c>
      <c r="AG51" s="81"/>
      <c r="AH51" s="33" t="s">
        <v>34</v>
      </c>
    </row>
    <row r="52" spans="1:34" s="69" customFormat="1" x14ac:dyDescent="0.3">
      <c r="A52" s="101">
        <v>48</v>
      </c>
      <c r="B52" s="34" t="s">
        <v>26</v>
      </c>
      <c r="C52" s="34" t="s">
        <v>87</v>
      </c>
      <c r="D52" s="35" t="s">
        <v>130</v>
      </c>
      <c r="E52" s="35" t="s">
        <v>29</v>
      </c>
      <c r="F52" s="36" t="s">
        <v>30</v>
      </c>
      <c r="G52" s="37" t="s">
        <v>31</v>
      </c>
      <c r="H52" s="38">
        <f t="shared" si="0"/>
        <v>7440.87</v>
      </c>
      <c r="I52" s="39"/>
      <c r="J52" s="40">
        <v>5407.87</v>
      </c>
      <c r="K52" s="41">
        <f t="shared" si="3"/>
        <v>5407.87</v>
      </c>
      <c r="L52" s="42">
        <v>1014.2</v>
      </c>
      <c r="M52" s="42"/>
      <c r="N52" s="40">
        <v>1098</v>
      </c>
      <c r="O52" s="43">
        <f t="shared" si="1"/>
        <v>1018.8000000000001</v>
      </c>
      <c r="P52" s="40">
        <v>926</v>
      </c>
      <c r="Q52" s="40">
        <f>16.9+11.8</f>
        <v>28.7</v>
      </c>
      <c r="R52" s="40">
        <v>64.099999999999994</v>
      </c>
      <c r="S52" s="76">
        <f t="shared" si="2"/>
        <v>6422.07</v>
      </c>
      <c r="T52" s="35" t="s">
        <v>131</v>
      </c>
      <c r="U52" s="34" t="s">
        <v>90</v>
      </c>
      <c r="V52" s="35" t="s">
        <v>130</v>
      </c>
      <c r="W52" s="35" t="s">
        <v>29</v>
      </c>
      <c r="X52" s="34" t="s">
        <v>29</v>
      </c>
      <c r="Y52" s="77" t="e">
        <f>#REF!-H52</f>
        <v>#REF!</v>
      </c>
      <c r="Z52" s="78" t="e">
        <f>#REF!-J52</f>
        <v>#REF!</v>
      </c>
      <c r="AA52" s="79" t="e">
        <f>#REF!-L52</f>
        <v>#REF!</v>
      </c>
      <c r="AB52" s="78" t="e">
        <f>#REF!-N52</f>
        <v>#REF!</v>
      </c>
      <c r="AC52" s="77" t="e">
        <f>(#REF!+#REF!)-S52</f>
        <v>#REF!</v>
      </c>
      <c r="AD52" s="80" t="e">
        <f>AC52/(#REF!+#REF!)*100</f>
        <v>#REF!</v>
      </c>
      <c r="AG52" s="81"/>
      <c r="AH52" s="33" t="s">
        <v>34</v>
      </c>
    </row>
    <row r="53" spans="1:34" s="69" customFormat="1" x14ac:dyDescent="0.3">
      <c r="A53" s="75">
        <v>49</v>
      </c>
      <c r="B53" s="34" t="s">
        <v>26</v>
      </c>
      <c r="C53" s="34" t="s">
        <v>87</v>
      </c>
      <c r="D53" s="35" t="s">
        <v>132</v>
      </c>
      <c r="E53" s="35" t="s">
        <v>29</v>
      </c>
      <c r="F53" s="36" t="s">
        <v>30</v>
      </c>
      <c r="G53" s="37" t="s">
        <v>31</v>
      </c>
      <c r="H53" s="38">
        <f t="shared" si="0"/>
        <v>5691.2000000000007</v>
      </c>
      <c r="I53" s="39">
        <v>0</v>
      </c>
      <c r="J53" s="40">
        <f>4661.06+29.54</f>
        <v>4690.6000000000004</v>
      </c>
      <c r="K53" s="41">
        <f t="shared" si="3"/>
        <v>4690.6000000000004</v>
      </c>
      <c r="L53" s="42">
        <f>193.3+210.6-82.8</f>
        <v>321.09999999999997</v>
      </c>
      <c r="M53" s="42">
        <f>193.3+210.6-82.8</f>
        <v>321.09999999999997</v>
      </c>
      <c r="N53" s="40">
        <v>583</v>
      </c>
      <c r="O53" s="43">
        <f t="shared" si="1"/>
        <v>679.5</v>
      </c>
      <c r="P53" s="40">
        <v>583</v>
      </c>
      <c r="Q53" s="40">
        <v>13.7</v>
      </c>
      <c r="R53" s="40">
        <v>82.8</v>
      </c>
      <c r="S53" s="76">
        <f t="shared" si="2"/>
        <v>5011.7000000000007</v>
      </c>
      <c r="T53" s="35" t="s">
        <v>133</v>
      </c>
      <c r="U53" s="34" t="s">
        <v>90</v>
      </c>
      <c r="V53" s="35" t="s">
        <v>132</v>
      </c>
      <c r="W53" s="35" t="s">
        <v>29</v>
      </c>
      <c r="X53" s="34" t="s">
        <v>29</v>
      </c>
      <c r="Y53" s="77" t="e">
        <f>#REF!-H53</f>
        <v>#REF!</v>
      </c>
      <c r="Z53" s="78" t="e">
        <f>#REF!-J53</f>
        <v>#REF!</v>
      </c>
      <c r="AA53" s="79" t="e">
        <f>#REF!-L53</f>
        <v>#REF!</v>
      </c>
      <c r="AB53" s="78" t="e">
        <f>#REF!-N53</f>
        <v>#REF!</v>
      </c>
      <c r="AC53" s="77" t="e">
        <f>(#REF!+#REF!)-S53</f>
        <v>#REF!</v>
      </c>
      <c r="AD53" s="80" t="e">
        <f>AC53/(#REF!+#REF!)*100</f>
        <v>#REF!</v>
      </c>
      <c r="AG53" s="81"/>
      <c r="AH53" s="33" t="s">
        <v>34</v>
      </c>
    </row>
    <row r="54" spans="1:34" s="69" customFormat="1" x14ac:dyDescent="0.3">
      <c r="A54" s="75">
        <v>50</v>
      </c>
      <c r="B54" s="34" t="s">
        <v>26</v>
      </c>
      <c r="C54" s="34" t="s">
        <v>87</v>
      </c>
      <c r="D54" s="35" t="s">
        <v>134</v>
      </c>
      <c r="E54" s="35" t="s">
        <v>29</v>
      </c>
      <c r="F54" s="36" t="s">
        <v>30</v>
      </c>
      <c r="G54" s="37" t="s">
        <v>31</v>
      </c>
      <c r="H54" s="38">
        <f t="shared" si="0"/>
        <v>533.26</v>
      </c>
      <c r="I54" s="39"/>
      <c r="J54" s="40">
        <v>430.66</v>
      </c>
      <c r="K54" s="41">
        <f t="shared" si="3"/>
        <v>430.66</v>
      </c>
      <c r="L54" s="42">
        <v>0</v>
      </c>
      <c r="M54" s="42"/>
      <c r="N54" s="40">
        <v>160</v>
      </c>
      <c r="O54" s="43">
        <f t="shared" si="1"/>
        <v>102.6</v>
      </c>
      <c r="P54" s="40">
        <v>102.6</v>
      </c>
      <c r="Q54" s="40"/>
      <c r="R54" s="40">
        <v>0</v>
      </c>
      <c r="S54" s="76">
        <f t="shared" si="2"/>
        <v>430.66</v>
      </c>
      <c r="T54" s="35" t="s">
        <v>135</v>
      </c>
      <c r="U54" s="34" t="s">
        <v>90</v>
      </c>
      <c r="V54" s="35" t="s">
        <v>134</v>
      </c>
      <c r="W54" s="35" t="s">
        <v>29</v>
      </c>
      <c r="X54" s="34" t="s">
        <v>29</v>
      </c>
      <c r="Y54" s="77" t="e">
        <f>#REF!-H54</f>
        <v>#REF!</v>
      </c>
      <c r="Z54" s="78" t="e">
        <f>#REF!-J54</f>
        <v>#REF!</v>
      </c>
      <c r="AA54" s="79" t="e">
        <f>#REF!-L54</f>
        <v>#REF!</v>
      </c>
      <c r="AB54" s="78" t="e">
        <f>#REF!-N54</f>
        <v>#REF!</v>
      </c>
      <c r="AC54" s="77" t="e">
        <f>(#REF!+#REF!)-S54</f>
        <v>#REF!</v>
      </c>
      <c r="AD54" s="80" t="e">
        <f>AC54/(#REF!+#REF!)*100</f>
        <v>#REF!</v>
      </c>
      <c r="AG54" s="81"/>
      <c r="AH54" s="33" t="s">
        <v>34</v>
      </c>
    </row>
    <row r="55" spans="1:34" s="69" customFormat="1" x14ac:dyDescent="0.3">
      <c r="A55" s="75">
        <v>51</v>
      </c>
      <c r="B55" s="34" t="s">
        <v>26</v>
      </c>
      <c r="C55" s="34" t="s">
        <v>87</v>
      </c>
      <c r="D55" s="35" t="s">
        <v>136</v>
      </c>
      <c r="E55" s="35" t="s">
        <v>29</v>
      </c>
      <c r="F55" s="36" t="s">
        <v>30</v>
      </c>
      <c r="G55" s="37"/>
      <c r="H55" s="38">
        <f t="shared" si="0"/>
        <v>7564.0899999999992</v>
      </c>
      <c r="I55" s="39"/>
      <c r="J55" s="40">
        <v>5644.19</v>
      </c>
      <c r="K55" s="41">
        <f t="shared" si="3"/>
        <v>5644.19</v>
      </c>
      <c r="L55" s="42">
        <f>771+57.5</f>
        <v>828.5</v>
      </c>
      <c r="M55" s="42"/>
      <c r="N55" s="40">
        <v>885</v>
      </c>
      <c r="O55" s="43">
        <f t="shared" si="1"/>
        <v>1091.3999999999999</v>
      </c>
      <c r="P55" s="40">
        <v>885</v>
      </c>
      <c r="Q55" s="40">
        <v>128.30000000000001</v>
      </c>
      <c r="R55" s="40">
        <v>78.099999999999994</v>
      </c>
      <c r="S55" s="76">
        <f t="shared" si="2"/>
        <v>6472.69</v>
      </c>
      <c r="T55" s="35" t="s">
        <v>137</v>
      </c>
      <c r="U55" s="34" t="s">
        <v>90</v>
      </c>
      <c r="V55" s="35" t="s">
        <v>136</v>
      </c>
      <c r="W55" s="35" t="s">
        <v>29</v>
      </c>
      <c r="X55" s="34" t="s">
        <v>29</v>
      </c>
      <c r="Y55" s="77" t="e">
        <f>#REF!-H55</f>
        <v>#REF!</v>
      </c>
      <c r="Z55" s="78" t="e">
        <f>#REF!-J55</f>
        <v>#REF!</v>
      </c>
      <c r="AA55" s="79" t="e">
        <f>#REF!-L55</f>
        <v>#REF!</v>
      </c>
      <c r="AB55" s="78" t="e">
        <f>#REF!-N55</f>
        <v>#REF!</v>
      </c>
      <c r="AC55" s="77" t="e">
        <f>(#REF!+#REF!)-S55</f>
        <v>#REF!</v>
      </c>
      <c r="AD55" s="80" t="e">
        <f>AC55/(#REF!+#REF!)*100</f>
        <v>#REF!</v>
      </c>
      <c r="AG55" s="81"/>
      <c r="AH55" s="33" t="s">
        <v>34</v>
      </c>
    </row>
    <row r="56" spans="1:34" s="69" customFormat="1" x14ac:dyDescent="0.3">
      <c r="A56" s="101">
        <v>52</v>
      </c>
      <c r="B56" s="34" t="s">
        <v>26</v>
      </c>
      <c r="C56" s="34" t="s">
        <v>87</v>
      </c>
      <c r="D56" s="35" t="s">
        <v>138</v>
      </c>
      <c r="E56" s="35" t="s">
        <v>29</v>
      </c>
      <c r="F56" s="36" t="s">
        <v>30</v>
      </c>
      <c r="G56" s="37"/>
      <c r="H56" s="105">
        <f t="shared" si="0"/>
        <v>5783.27</v>
      </c>
      <c r="I56" s="39"/>
      <c r="J56" s="40">
        <v>4271.7700000000004</v>
      </c>
      <c r="K56" s="41">
        <f t="shared" si="3"/>
        <v>4271.7700000000004</v>
      </c>
      <c r="L56" s="106">
        <f>594.6+129.8+68.4+77.8</f>
        <v>870.6</v>
      </c>
      <c r="M56" s="106">
        <f>129.8+68.4+77.8</f>
        <v>276</v>
      </c>
      <c r="N56" s="40">
        <v>919.6</v>
      </c>
      <c r="O56" s="39">
        <f t="shared" si="1"/>
        <v>640.9</v>
      </c>
      <c r="P56" s="40">
        <v>561</v>
      </c>
      <c r="Q56" s="107">
        <v>79.900000000000006</v>
      </c>
      <c r="R56" s="40"/>
      <c r="S56" s="76">
        <f t="shared" si="2"/>
        <v>5142.3700000000008</v>
      </c>
      <c r="T56" s="35" t="s">
        <v>139</v>
      </c>
      <c r="U56" s="34" t="s">
        <v>90</v>
      </c>
      <c r="V56" s="35" t="s">
        <v>138</v>
      </c>
      <c r="W56" s="35" t="s">
        <v>29</v>
      </c>
      <c r="X56" s="34" t="s">
        <v>29</v>
      </c>
      <c r="Y56" s="77" t="e">
        <f>#REF!-H56</f>
        <v>#REF!</v>
      </c>
      <c r="Z56" s="78" t="e">
        <f>#REF!-J56</f>
        <v>#REF!</v>
      </c>
      <c r="AA56" s="79" t="e">
        <f>#REF!-L56</f>
        <v>#REF!</v>
      </c>
      <c r="AB56" s="78" t="e">
        <f>#REF!-N56</f>
        <v>#REF!</v>
      </c>
      <c r="AC56" s="77" t="e">
        <f>(#REF!+#REF!)-S56</f>
        <v>#REF!</v>
      </c>
      <c r="AD56" s="80" t="e">
        <f>AC56/(#REF!+#REF!)*100</f>
        <v>#REF!</v>
      </c>
      <c r="AG56" s="81"/>
      <c r="AH56" s="33" t="s">
        <v>34</v>
      </c>
    </row>
    <row r="57" spans="1:34" s="69" customFormat="1" x14ac:dyDescent="0.3">
      <c r="A57" s="75">
        <v>53</v>
      </c>
      <c r="B57" s="34" t="s">
        <v>26</v>
      </c>
      <c r="C57" s="34" t="s">
        <v>87</v>
      </c>
      <c r="D57" s="35" t="s">
        <v>140</v>
      </c>
      <c r="E57" s="35" t="s">
        <v>29</v>
      </c>
      <c r="F57" s="36" t="s">
        <v>30</v>
      </c>
      <c r="G57" s="37" t="s">
        <v>31</v>
      </c>
      <c r="H57" s="38">
        <f t="shared" si="0"/>
        <v>4524.6400000000003</v>
      </c>
      <c r="I57" s="39">
        <v>10.050000000000001</v>
      </c>
      <c r="J57" s="40">
        <v>3341.39</v>
      </c>
      <c r="K57" s="41">
        <f t="shared" si="3"/>
        <v>3351.44</v>
      </c>
      <c r="L57" s="42">
        <v>770.7</v>
      </c>
      <c r="M57" s="42"/>
      <c r="N57" s="40">
        <v>402.5</v>
      </c>
      <c r="O57" s="43">
        <f t="shared" si="1"/>
        <v>402.5</v>
      </c>
      <c r="P57" s="40">
        <v>373.9</v>
      </c>
      <c r="Q57" s="40">
        <v>28.6</v>
      </c>
      <c r="R57" s="40"/>
      <c r="S57" s="76">
        <f t="shared" si="2"/>
        <v>4122.1400000000003</v>
      </c>
      <c r="T57" s="35" t="s">
        <v>141</v>
      </c>
      <c r="U57" s="34" t="s">
        <v>90</v>
      </c>
      <c r="V57" s="35" t="s">
        <v>140</v>
      </c>
      <c r="W57" s="35" t="s">
        <v>29</v>
      </c>
      <c r="X57" s="34" t="s">
        <v>29</v>
      </c>
      <c r="Y57" s="77" t="e">
        <f>#REF!-H57</f>
        <v>#REF!</v>
      </c>
      <c r="Z57" s="78" t="e">
        <f>#REF!-J57</f>
        <v>#REF!</v>
      </c>
      <c r="AA57" s="79" t="e">
        <f>#REF!-L57</f>
        <v>#REF!</v>
      </c>
      <c r="AB57" s="78" t="e">
        <f>#REF!-N57</f>
        <v>#REF!</v>
      </c>
      <c r="AC57" s="77" t="e">
        <f>(#REF!+#REF!)-S57</f>
        <v>#REF!</v>
      </c>
      <c r="AD57" s="80" t="e">
        <f>AC57/(#REF!+#REF!)*100</f>
        <v>#REF!</v>
      </c>
      <c r="AG57" s="81"/>
      <c r="AH57" s="33" t="s">
        <v>34</v>
      </c>
    </row>
    <row r="58" spans="1:34" s="69" customFormat="1" x14ac:dyDescent="0.3">
      <c r="A58" s="75">
        <v>54</v>
      </c>
      <c r="B58" s="34" t="s">
        <v>26</v>
      </c>
      <c r="C58" s="34" t="s">
        <v>87</v>
      </c>
      <c r="D58" s="35" t="s">
        <v>142</v>
      </c>
      <c r="E58" s="35" t="s">
        <v>29</v>
      </c>
      <c r="F58" s="36" t="s">
        <v>30</v>
      </c>
      <c r="G58" s="37"/>
      <c r="H58" s="38">
        <f t="shared" si="0"/>
        <v>7007.49</v>
      </c>
      <c r="I58" s="39"/>
      <c r="J58" s="40">
        <v>5275.19</v>
      </c>
      <c r="K58" s="41">
        <f t="shared" si="3"/>
        <v>5275.19</v>
      </c>
      <c r="L58" s="42">
        <v>1066.4000000000001</v>
      </c>
      <c r="M58" s="42"/>
      <c r="N58" s="40">
        <v>625</v>
      </c>
      <c r="O58" s="43">
        <f t="shared" si="1"/>
        <v>665.9</v>
      </c>
      <c r="P58" s="40">
        <v>625</v>
      </c>
      <c r="Q58" s="40">
        <v>40.9</v>
      </c>
      <c r="R58" s="40"/>
      <c r="S58" s="76">
        <f t="shared" si="2"/>
        <v>6341.59</v>
      </c>
      <c r="T58" s="35" t="s">
        <v>143</v>
      </c>
      <c r="U58" s="34" t="s">
        <v>90</v>
      </c>
      <c r="V58" s="35" t="s">
        <v>142</v>
      </c>
      <c r="W58" s="35" t="s">
        <v>29</v>
      </c>
      <c r="X58" s="34" t="s">
        <v>29</v>
      </c>
      <c r="Y58" s="77" t="e">
        <f>#REF!-H58</f>
        <v>#REF!</v>
      </c>
      <c r="Z58" s="78" t="e">
        <f>#REF!-J58</f>
        <v>#REF!</v>
      </c>
      <c r="AA58" s="79" t="e">
        <f>#REF!-L58</f>
        <v>#REF!</v>
      </c>
      <c r="AB58" s="78" t="e">
        <f>#REF!-N58</f>
        <v>#REF!</v>
      </c>
      <c r="AC58" s="77" t="e">
        <f>(#REF!+#REF!)-S58</f>
        <v>#REF!</v>
      </c>
      <c r="AD58" s="80" t="e">
        <f>AC58/(#REF!+#REF!)*100</f>
        <v>#REF!</v>
      </c>
      <c r="AG58" s="81"/>
      <c r="AH58" s="33" t="s">
        <v>34</v>
      </c>
    </row>
    <row r="59" spans="1:34" s="69" customFormat="1" x14ac:dyDescent="0.3">
      <c r="A59" s="101">
        <v>55</v>
      </c>
      <c r="B59" s="34" t="s">
        <v>26</v>
      </c>
      <c r="C59" s="34" t="s">
        <v>87</v>
      </c>
      <c r="D59" s="35" t="s">
        <v>144</v>
      </c>
      <c r="E59" s="35" t="s">
        <v>29</v>
      </c>
      <c r="F59" s="36" t="s">
        <v>30</v>
      </c>
      <c r="G59" s="37"/>
      <c r="H59" s="38">
        <f t="shared" si="0"/>
        <v>6244.06</v>
      </c>
      <c r="I59" s="39"/>
      <c r="J59" s="40">
        <v>5247.76</v>
      </c>
      <c r="K59" s="41">
        <f t="shared" si="3"/>
        <v>5247.76</v>
      </c>
      <c r="L59" s="42">
        <f>337.1+42.2</f>
        <v>379.3</v>
      </c>
      <c r="M59" s="42"/>
      <c r="N59" s="40">
        <v>616.70000000000005</v>
      </c>
      <c r="O59" s="43">
        <f t="shared" si="1"/>
        <v>617</v>
      </c>
      <c r="P59" s="40">
        <v>539</v>
      </c>
      <c r="Q59" s="40">
        <v>78</v>
      </c>
      <c r="R59" s="40"/>
      <c r="S59" s="76">
        <f t="shared" si="2"/>
        <v>5627.06</v>
      </c>
      <c r="T59" s="35" t="s">
        <v>145</v>
      </c>
      <c r="U59" s="34" t="s">
        <v>90</v>
      </c>
      <c r="V59" s="35" t="s">
        <v>144</v>
      </c>
      <c r="W59" s="35" t="s">
        <v>29</v>
      </c>
      <c r="X59" s="34" t="s">
        <v>29</v>
      </c>
      <c r="Y59" s="77" t="e">
        <f>#REF!-H59</f>
        <v>#REF!</v>
      </c>
      <c r="Z59" s="78" t="e">
        <f>#REF!-J59</f>
        <v>#REF!</v>
      </c>
      <c r="AA59" s="79" t="e">
        <f>#REF!-L59</f>
        <v>#REF!</v>
      </c>
      <c r="AB59" s="78" t="e">
        <f>#REF!-N59</f>
        <v>#REF!</v>
      </c>
      <c r="AC59" s="77" t="e">
        <f>(#REF!+#REF!)-S59</f>
        <v>#REF!</v>
      </c>
      <c r="AD59" s="80" t="e">
        <f>AC59/(#REF!+#REF!)*100</f>
        <v>#REF!</v>
      </c>
      <c r="AG59" s="81"/>
      <c r="AH59" s="33" t="s">
        <v>34</v>
      </c>
    </row>
    <row r="60" spans="1:34" s="69" customFormat="1" x14ac:dyDescent="0.3">
      <c r="A60" s="75">
        <v>56</v>
      </c>
      <c r="B60" s="34" t="s">
        <v>26</v>
      </c>
      <c r="C60" s="34" t="s">
        <v>87</v>
      </c>
      <c r="D60" s="35" t="s">
        <v>146</v>
      </c>
      <c r="E60" s="35" t="s">
        <v>29</v>
      </c>
      <c r="F60" s="36" t="s">
        <v>30</v>
      </c>
      <c r="G60" s="37"/>
      <c r="H60" s="38">
        <f t="shared" si="0"/>
        <v>4645.51</v>
      </c>
      <c r="I60" s="39">
        <v>0</v>
      </c>
      <c r="J60" s="40">
        <f>4191.81-1.3</f>
        <v>4190.51</v>
      </c>
      <c r="K60" s="41">
        <f t="shared" si="3"/>
        <v>4190.51</v>
      </c>
      <c r="L60" s="42">
        <v>0</v>
      </c>
      <c r="M60" s="42"/>
      <c r="N60" s="40">
        <v>455</v>
      </c>
      <c r="O60" s="43">
        <f t="shared" si="1"/>
        <v>455</v>
      </c>
      <c r="P60" s="40">
        <v>455</v>
      </c>
      <c r="Q60" s="40"/>
      <c r="R60" s="40"/>
      <c r="S60" s="76">
        <f t="shared" si="2"/>
        <v>4190.51</v>
      </c>
      <c r="T60" s="35" t="s">
        <v>147</v>
      </c>
      <c r="U60" s="34" t="s">
        <v>90</v>
      </c>
      <c r="V60" s="35" t="s">
        <v>146</v>
      </c>
      <c r="W60" s="35" t="s">
        <v>29</v>
      </c>
      <c r="X60" s="34" t="s">
        <v>29</v>
      </c>
      <c r="Y60" s="77" t="e">
        <f>#REF!-H60</f>
        <v>#REF!</v>
      </c>
      <c r="Z60" s="78" t="e">
        <f>#REF!-J60</f>
        <v>#REF!</v>
      </c>
      <c r="AA60" s="79" t="e">
        <f>#REF!-L60</f>
        <v>#REF!</v>
      </c>
      <c r="AB60" s="78" t="e">
        <f>#REF!-N60</f>
        <v>#REF!</v>
      </c>
      <c r="AC60" s="77" t="e">
        <f>(#REF!+#REF!)-S60</f>
        <v>#REF!</v>
      </c>
      <c r="AD60" s="80" t="e">
        <f>AC60/(#REF!+#REF!)*100</f>
        <v>#REF!</v>
      </c>
      <c r="AG60" s="81"/>
      <c r="AH60" s="33" t="s">
        <v>34</v>
      </c>
    </row>
    <row r="61" spans="1:34" s="69" customFormat="1" x14ac:dyDescent="0.3">
      <c r="A61" s="75">
        <v>57</v>
      </c>
      <c r="B61" s="34" t="s">
        <v>26</v>
      </c>
      <c r="C61" s="34" t="s">
        <v>87</v>
      </c>
      <c r="D61" s="35" t="s">
        <v>148</v>
      </c>
      <c r="E61" s="108" t="s">
        <v>149</v>
      </c>
      <c r="F61" s="36" t="s">
        <v>30</v>
      </c>
      <c r="G61" s="37" t="s">
        <v>31</v>
      </c>
      <c r="H61" s="38">
        <f t="shared" si="0"/>
        <v>3163.54</v>
      </c>
      <c r="I61" s="39">
        <v>23.78</v>
      </c>
      <c r="J61" s="40">
        <f>2226.84-28.12+28.12-23.78</f>
        <v>2203.06</v>
      </c>
      <c r="K61" s="41">
        <f t="shared" si="3"/>
        <v>2226.84</v>
      </c>
      <c r="L61" s="42">
        <f>61.5+112.6-2.4</f>
        <v>171.7</v>
      </c>
      <c r="M61" s="42"/>
      <c r="N61" s="42">
        <v>765</v>
      </c>
      <c r="O61" s="43">
        <f t="shared" si="1"/>
        <v>765</v>
      </c>
      <c r="P61" s="42">
        <v>336</v>
      </c>
      <c r="Q61" s="42"/>
      <c r="R61" s="42">
        <v>429</v>
      </c>
      <c r="S61" s="76">
        <f t="shared" si="2"/>
        <v>2398.54</v>
      </c>
      <c r="T61" s="35" t="s">
        <v>150</v>
      </c>
      <c r="U61" s="34" t="s">
        <v>90</v>
      </c>
      <c r="V61" s="35" t="s">
        <v>148</v>
      </c>
      <c r="W61" s="35" t="s">
        <v>29</v>
      </c>
      <c r="X61" s="34" t="s">
        <v>29</v>
      </c>
      <c r="Y61" s="77" t="e">
        <f>#REF!-H61</f>
        <v>#REF!</v>
      </c>
      <c r="Z61" s="78" t="e">
        <f>#REF!-J61</f>
        <v>#REF!</v>
      </c>
      <c r="AA61" s="79" t="e">
        <f>#REF!-L61</f>
        <v>#REF!</v>
      </c>
      <c r="AB61" s="78" t="e">
        <f>#REF!-N61</f>
        <v>#REF!</v>
      </c>
      <c r="AC61" s="77" t="e">
        <f>(#REF!+#REF!)-S61</f>
        <v>#REF!</v>
      </c>
      <c r="AD61" s="80" t="e">
        <f>AC61/(#REF!+#REF!)*100</f>
        <v>#REF!</v>
      </c>
      <c r="AG61" s="81"/>
      <c r="AH61" s="33" t="s">
        <v>34</v>
      </c>
    </row>
    <row r="62" spans="1:34" s="69" customFormat="1" x14ac:dyDescent="0.3">
      <c r="A62" s="101">
        <v>58</v>
      </c>
      <c r="B62" s="34" t="s">
        <v>26</v>
      </c>
      <c r="C62" s="34" t="s">
        <v>87</v>
      </c>
      <c r="D62" s="35" t="s">
        <v>148</v>
      </c>
      <c r="E62" s="35"/>
      <c r="F62" s="36" t="s">
        <v>43</v>
      </c>
      <c r="G62" s="37" t="s">
        <v>31</v>
      </c>
      <c r="H62" s="38">
        <f t="shared" si="0"/>
        <v>3160.5</v>
      </c>
      <c r="I62" s="39"/>
      <c r="J62" s="40">
        <v>1844.2</v>
      </c>
      <c r="K62" s="41">
        <f t="shared" si="3"/>
        <v>1844.2</v>
      </c>
      <c r="L62" s="42">
        <v>603.70000000000005</v>
      </c>
      <c r="M62" s="42"/>
      <c r="N62" s="42">
        <v>680.6</v>
      </c>
      <c r="O62" s="43">
        <f t="shared" si="1"/>
        <v>712.6</v>
      </c>
      <c r="P62" s="42">
        <v>219.6</v>
      </c>
      <c r="Q62" s="42"/>
      <c r="R62" s="42">
        <v>493</v>
      </c>
      <c r="S62" s="76">
        <f t="shared" si="2"/>
        <v>2447.9</v>
      </c>
      <c r="T62" s="35" t="s">
        <v>151</v>
      </c>
      <c r="U62" s="34" t="s">
        <v>90</v>
      </c>
      <c r="V62" s="35" t="s">
        <v>148</v>
      </c>
      <c r="W62" s="35" t="s">
        <v>29</v>
      </c>
      <c r="X62" s="34" t="s">
        <v>29</v>
      </c>
      <c r="Y62" s="77" t="e">
        <f>#REF!-H62</f>
        <v>#REF!</v>
      </c>
      <c r="Z62" s="78" t="e">
        <f>#REF!-J62</f>
        <v>#REF!</v>
      </c>
      <c r="AA62" s="79" t="e">
        <f>#REF!-L62</f>
        <v>#REF!</v>
      </c>
      <c r="AB62" s="78" t="e">
        <f>#REF!-N62</f>
        <v>#REF!</v>
      </c>
      <c r="AC62" s="77" t="e">
        <f>(#REF!+#REF!)-S62</f>
        <v>#REF!</v>
      </c>
      <c r="AD62" s="80" t="e">
        <f>AC62/(#REF!+#REF!)*100</f>
        <v>#REF!</v>
      </c>
      <c r="AG62" s="81"/>
      <c r="AH62" s="33" t="s">
        <v>34</v>
      </c>
    </row>
    <row r="63" spans="1:34" s="69" customFormat="1" x14ac:dyDescent="0.3">
      <c r="A63" s="75">
        <v>59</v>
      </c>
      <c r="B63" s="34" t="s">
        <v>26</v>
      </c>
      <c r="C63" s="34" t="s">
        <v>87</v>
      </c>
      <c r="D63" s="35" t="s">
        <v>148</v>
      </c>
      <c r="E63" s="35" t="s">
        <v>29</v>
      </c>
      <c r="F63" s="36" t="s">
        <v>56</v>
      </c>
      <c r="G63" s="37" t="s">
        <v>31</v>
      </c>
      <c r="H63" s="38">
        <f t="shared" si="0"/>
        <v>2044.3100000000002</v>
      </c>
      <c r="I63" s="39"/>
      <c r="J63" s="40">
        <v>810.97</v>
      </c>
      <c r="K63" s="41">
        <f t="shared" si="3"/>
        <v>810.97</v>
      </c>
      <c r="L63" s="42">
        <v>1118.6400000000001</v>
      </c>
      <c r="M63" s="42"/>
      <c r="N63" s="42">
        <v>224.13</v>
      </c>
      <c r="O63" s="43">
        <f t="shared" si="1"/>
        <v>114.69999999999997</v>
      </c>
      <c r="P63" s="42">
        <v>88.48</v>
      </c>
      <c r="Q63" s="42"/>
      <c r="R63" s="42">
        <f>369.02-342.8</f>
        <v>26.21999999999997</v>
      </c>
      <c r="S63" s="76">
        <f t="shared" si="2"/>
        <v>1929.6100000000001</v>
      </c>
      <c r="T63" s="35" t="s">
        <v>152</v>
      </c>
      <c r="U63" s="34" t="s">
        <v>90</v>
      </c>
      <c r="V63" s="35" t="s">
        <v>153</v>
      </c>
      <c r="W63" s="35" t="s">
        <v>29</v>
      </c>
      <c r="X63" s="34" t="s">
        <v>29</v>
      </c>
      <c r="Y63" s="77" t="e">
        <f>#REF!-H63</f>
        <v>#REF!</v>
      </c>
      <c r="Z63" s="78" t="e">
        <f>#REF!-J63</f>
        <v>#REF!</v>
      </c>
      <c r="AA63" s="79" t="e">
        <f>#REF!-L63</f>
        <v>#REF!</v>
      </c>
      <c r="AB63" s="78" t="e">
        <f>#REF!-N63</f>
        <v>#REF!</v>
      </c>
      <c r="AC63" s="77" t="e">
        <f>(#REF!+#REF!)-S63</f>
        <v>#REF!</v>
      </c>
      <c r="AD63" s="80" t="e">
        <f>AC63/(#REF!+#REF!)*100</f>
        <v>#REF!</v>
      </c>
      <c r="AE63" s="69">
        <f>N63/293.6</f>
        <v>0.76338555858310619</v>
      </c>
      <c r="AG63" s="81"/>
      <c r="AH63" s="33" t="s">
        <v>34</v>
      </c>
    </row>
    <row r="64" spans="1:34" x14ac:dyDescent="0.3">
      <c r="A64" s="75">
        <v>60</v>
      </c>
      <c r="B64" s="34" t="s">
        <v>26</v>
      </c>
      <c r="C64" s="34" t="s">
        <v>87</v>
      </c>
      <c r="D64" s="35" t="s">
        <v>148</v>
      </c>
      <c r="E64" s="35" t="s">
        <v>29</v>
      </c>
      <c r="F64" s="36" t="s">
        <v>56</v>
      </c>
      <c r="G64" s="37" t="s">
        <v>31</v>
      </c>
      <c r="H64" s="38">
        <f t="shared" si="0"/>
        <v>734.41000000000008</v>
      </c>
      <c r="I64" s="39"/>
      <c r="J64" s="40">
        <v>251.35</v>
      </c>
      <c r="K64" s="41">
        <f t="shared" si="3"/>
        <v>251.35</v>
      </c>
      <c r="L64" s="42">
        <v>341.26</v>
      </c>
      <c r="M64" s="42"/>
      <c r="N64" s="42">
        <v>69.47</v>
      </c>
      <c r="O64" s="43">
        <f t="shared" si="1"/>
        <v>141.80000000000001</v>
      </c>
      <c r="P64" s="42">
        <v>27.42</v>
      </c>
      <c r="Q64" s="42"/>
      <c r="R64" s="42">
        <v>114.38</v>
      </c>
      <c r="S64" s="44">
        <f t="shared" si="2"/>
        <v>592.61</v>
      </c>
      <c r="T64" s="35" t="s">
        <v>154</v>
      </c>
      <c r="U64" s="45" t="s">
        <v>90</v>
      </c>
      <c r="V64" s="46" t="s">
        <v>148</v>
      </c>
      <c r="W64" s="46" t="s">
        <v>29</v>
      </c>
      <c r="X64" s="45" t="s">
        <v>29</v>
      </c>
      <c r="Y64" s="72" t="e">
        <f>#REF!-H64</f>
        <v>#REF!</v>
      </c>
      <c r="Z64" s="73" t="e">
        <f>#REF!-J64</f>
        <v>#REF!</v>
      </c>
      <c r="AA64" s="74" t="e">
        <f>#REF!-L64</f>
        <v>#REF!</v>
      </c>
      <c r="AB64" s="73" t="e">
        <f>#REF!-N64</f>
        <v>#REF!</v>
      </c>
      <c r="AC64" s="72" t="e">
        <f>(#REF!+#REF!)-S64</f>
        <v>#REF!</v>
      </c>
      <c r="AD64" s="50" t="e">
        <f>AC64/(#REF!+#REF!)*100</f>
        <v>#REF!</v>
      </c>
      <c r="AE64" s="7">
        <f>N64/293.6</f>
        <v>0.23661444141689372</v>
      </c>
      <c r="AH64" s="33" t="s">
        <v>34</v>
      </c>
    </row>
    <row r="65" spans="1:34" x14ac:dyDescent="0.3">
      <c r="A65" s="75">
        <v>61</v>
      </c>
      <c r="B65" s="34" t="s">
        <v>26</v>
      </c>
      <c r="C65" s="34" t="s">
        <v>87</v>
      </c>
      <c r="D65" s="35" t="s">
        <v>148</v>
      </c>
      <c r="E65" s="35" t="s">
        <v>29</v>
      </c>
      <c r="F65" s="36" t="s">
        <v>155</v>
      </c>
      <c r="G65" s="37" t="s">
        <v>31</v>
      </c>
      <c r="H65" s="38">
        <f t="shared" si="0"/>
        <v>2107.3000000000002</v>
      </c>
      <c r="I65" s="39"/>
      <c r="J65" s="41">
        <v>1530</v>
      </c>
      <c r="K65" s="41">
        <f t="shared" si="3"/>
        <v>1530</v>
      </c>
      <c r="L65" s="42">
        <v>138</v>
      </c>
      <c r="M65" s="42"/>
      <c r="N65" s="42">
        <v>387.4</v>
      </c>
      <c r="O65" s="43">
        <f t="shared" si="1"/>
        <v>439.3</v>
      </c>
      <c r="P65" s="42">
        <v>163.30000000000001</v>
      </c>
      <c r="Q65" s="42"/>
      <c r="R65" s="42">
        <f>179.1+96.9</f>
        <v>276</v>
      </c>
      <c r="S65" s="44">
        <f t="shared" si="2"/>
        <v>1668</v>
      </c>
      <c r="T65" s="35" t="s">
        <v>156</v>
      </c>
      <c r="U65" s="70" t="s">
        <v>90</v>
      </c>
      <c r="V65" s="71" t="s">
        <v>148</v>
      </c>
      <c r="W65" s="71" t="s">
        <v>29</v>
      </c>
      <c r="X65" s="70" t="s">
        <v>29</v>
      </c>
      <c r="Y65" s="72" t="e">
        <f>#REF!-H65</f>
        <v>#REF!</v>
      </c>
      <c r="Z65" s="73" t="e">
        <f>#REF!-J65</f>
        <v>#REF!</v>
      </c>
      <c r="AA65" s="74" t="e">
        <f>#REF!-L65</f>
        <v>#REF!</v>
      </c>
      <c r="AB65" s="73" t="e">
        <f>#REF!-N65</f>
        <v>#REF!</v>
      </c>
      <c r="AC65" s="72" t="e">
        <f>(#REF!+#REF!)-S65</f>
        <v>#REF!</v>
      </c>
      <c r="AD65" s="50" t="e">
        <f>AC65/(#REF!+#REF!)*100</f>
        <v>#REF!</v>
      </c>
      <c r="AH65" s="33" t="s">
        <v>34</v>
      </c>
    </row>
    <row r="66" spans="1:34" x14ac:dyDescent="0.3">
      <c r="A66" s="101">
        <v>62</v>
      </c>
      <c r="B66" s="34" t="s">
        <v>26</v>
      </c>
      <c r="C66" s="34" t="s">
        <v>87</v>
      </c>
      <c r="D66" s="35" t="s">
        <v>148</v>
      </c>
      <c r="E66" s="35" t="s">
        <v>29</v>
      </c>
      <c r="F66" s="36" t="s">
        <v>103</v>
      </c>
      <c r="G66" s="37" t="s">
        <v>31</v>
      </c>
      <c r="H66" s="38">
        <f t="shared" si="0"/>
        <v>2007.88</v>
      </c>
      <c r="I66" s="39"/>
      <c r="J66" s="40">
        <v>1688.18</v>
      </c>
      <c r="K66" s="41">
        <f t="shared" si="3"/>
        <v>1688.18</v>
      </c>
      <c r="L66" s="42">
        <v>0</v>
      </c>
      <c r="M66" s="42"/>
      <c r="N66" s="42">
        <v>466.9</v>
      </c>
      <c r="O66" s="43">
        <f t="shared" si="1"/>
        <v>319.7</v>
      </c>
      <c r="P66" s="42">
        <v>143.5</v>
      </c>
      <c r="Q66" s="42"/>
      <c r="R66" s="42">
        <v>176.2</v>
      </c>
      <c r="S66" s="44">
        <f t="shared" si="2"/>
        <v>1688.18</v>
      </c>
      <c r="T66" s="35" t="s">
        <v>157</v>
      </c>
      <c r="U66" s="70" t="s">
        <v>90</v>
      </c>
      <c r="V66" s="71" t="s">
        <v>148</v>
      </c>
      <c r="W66" s="71" t="s">
        <v>29</v>
      </c>
      <c r="X66" s="70" t="s">
        <v>29</v>
      </c>
      <c r="Y66" s="72" t="e">
        <f>#REF!-H66</f>
        <v>#REF!</v>
      </c>
      <c r="Z66" s="73" t="e">
        <f>#REF!-J66</f>
        <v>#REF!</v>
      </c>
      <c r="AA66" s="74" t="e">
        <f>#REF!-L66</f>
        <v>#REF!</v>
      </c>
      <c r="AB66" s="73" t="e">
        <f>#REF!-N66</f>
        <v>#REF!</v>
      </c>
      <c r="AC66" s="72" t="e">
        <f>(#REF!+#REF!)-S66</f>
        <v>#REF!</v>
      </c>
      <c r="AD66" s="50" t="e">
        <f>AC66/(#REF!+#REF!)*100</f>
        <v>#REF!</v>
      </c>
      <c r="AH66" s="33" t="s">
        <v>34</v>
      </c>
    </row>
    <row r="67" spans="1:34" x14ac:dyDescent="0.3">
      <c r="A67" s="75">
        <v>63</v>
      </c>
      <c r="B67" s="34" t="s">
        <v>26</v>
      </c>
      <c r="C67" s="34" t="s">
        <v>87</v>
      </c>
      <c r="D67" s="35" t="s">
        <v>158</v>
      </c>
      <c r="E67" s="35" t="s">
        <v>29</v>
      </c>
      <c r="F67" s="36" t="s">
        <v>30</v>
      </c>
      <c r="G67" s="37"/>
      <c r="H67" s="38">
        <f t="shared" si="0"/>
        <v>6553.64</v>
      </c>
      <c r="I67" s="39"/>
      <c r="J67" s="40">
        <f>5494.22+22.72</f>
        <v>5516.9400000000005</v>
      </c>
      <c r="K67" s="41">
        <f t="shared" si="3"/>
        <v>5516.9400000000005</v>
      </c>
      <c r="L67" s="42">
        <v>251.7</v>
      </c>
      <c r="M67" s="42"/>
      <c r="N67" s="40">
        <v>725.52</v>
      </c>
      <c r="O67" s="43">
        <f t="shared" si="1"/>
        <v>785</v>
      </c>
      <c r="P67" s="40">
        <v>701</v>
      </c>
      <c r="Q67" s="40">
        <v>84</v>
      </c>
      <c r="R67" s="40"/>
      <c r="S67" s="44">
        <f t="shared" si="2"/>
        <v>5768.64</v>
      </c>
      <c r="T67" s="35" t="s">
        <v>159</v>
      </c>
      <c r="U67" s="70" t="s">
        <v>90</v>
      </c>
      <c r="V67" s="71" t="s">
        <v>158</v>
      </c>
      <c r="W67" s="71" t="s">
        <v>29</v>
      </c>
      <c r="X67" s="70" t="s">
        <v>29</v>
      </c>
      <c r="Y67" s="72" t="e">
        <f>#REF!-H67</f>
        <v>#REF!</v>
      </c>
      <c r="Z67" s="73" t="e">
        <f>#REF!-J67</f>
        <v>#REF!</v>
      </c>
      <c r="AA67" s="74" t="e">
        <f>#REF!-L67</f>
        <v>#REF!</v>
      </c>
      <c r="AB67" s="73" t="e">
        <f>#REF!-N67</f>
        <v>#REF!</v>
      </c>
      <c r="AC67" s="72" t="e">
        <f>(#REF!+#REF!)-S67</f>
        <v>#REF!</v>
      </c>
      <c r="AD67" s="50" t="e">
        <f>AC67/(#REF!+#REF!)*100</f>
        <v>#REF!</v>
      </c>
      <c r="AH67" s="33" t="s">
        <v>34</v>
      </c>
    </row>
    <row r="68" spans="1:34" s="69" customFormat="1" ht="21" x14ac:dyDescent="0.3">
      <c r="A68" s="75">
        <v>64</v>
      </c>
      <c r="B68" s="82" t="s">
        <v>26</v>
      </c>
      <c r="C68" s="82" t="s">
        <v>87</v>
      </c>
      <c r="D68" s="83" t="s">
        <v>160</v>
      </c>
      <c r="E68" s="83" t="s">
        <v>29</v>
      </c>
      <c r="F68" s="84" t="s">
        <v>30</v>
      </c>
      <c r="G68" s="85" t="s">
        <v>31</v>
      </c>
      <c r="H68" s="86">
        <f t="shared" si="0"/>
        <v>5158.1900000000005</v>
      </c>
      <c r="I68" s="87">
        <v>11.41</v>
      </c>
      <c r="J68" s="88">
        <v>4111.18</v>
      </c>
      <c r="K68" s="89">
        <f t="shared" si="3"/>
        <v>4122.59</v>
      </c>
      <c r="L68" s="90">
        <v>0</v>
      </c>
      <c r="M68" s="90"/>
      <c r="N68" s="88">
        <v>362.4</v>
      </c>
      <c r="O68" s="91">
        <f t="shared" si="1"/>
        <v>1035.5999999999999</v>
      </c>
      <c r="P68" s="88">
        <v>335</v>
      </c>
      <c r="Q68" s="88">
        <v>27.4</v>
      </c>
      <c r="R68" s="88">
        <v>673.2</v>
      </c>
      <c r="S68" s="92">
        <f t="shared" si="2"/>
        <v>4122.59</v>
      </c>
      <c r="T68" s="93" t="s">
        <v>57</v>
      </c>
      <c r="U68" s="82" t="s">
        <v>90</v>
      </c>
      <c r="V68" s="83" t="s">
        <v>160</v>
      </c>
      <c r="W68" s="83" t="s">
        <v>29</v>
      </c>
      <c r="X68" s="82" t="s">
        <v>29</v>
      </c>
      <c r="Y68" s="94" t="e">
        <f>#REF!-H68</f>
        <v>#REF!</v>
      </c>
      <c r="Z68" s="95" t="e">
        <f>#REF!-J68</f>
        <v>#REF!</v>
      </c>
      <c r="AA68" s="96" t="e">
        <f>#REF!-L68</f>
        <v>#REF!</v>
      </c>
      <c r="AB68" s="95" t="e">
        <f>#REF!-N68</f>
        <v>#REF!</v>
      </c>
      <c r="AC68" s="94" t="e">
        <f>(#REF!+#REF!)-S68</f>
        <v>#REF!</v>
      </c>
      <c r="AD68" s="97" t="e">
        <f>AC68/(#REF!+#REF!)*100</f>
        <v>#REF!</v>
      </c>
      <c r="AE68" s="98"/>
      <c r="AF68" s="98"/>
      <c r="AG68" s="99"/>
      <c r="AH68" s="100" t="s">
        <v>95</v>
      </c>
    </row>
    <row r="69" spans="1:34" x14ac:dyDescent="0.3">
      <c r="A69" s="101">
        <v>65</v>
      </c>
      <c r="B69" s="34" t="s">
        <v>26</v>
      </c>
      <c r="C69" s="34" t="s">
        <v>87</v>
      </c>
      <c r="D69" s="35" t="s">
        <v>160</v>
      </c>
      <c r="E69" s="35" t="s">
        <v>161</v>
      </c>
      <c r="F69" s="36" t="s">
        <v>30</v>
      </c>
      <c r="G69" s="37" t="s">
        <v>31</v>
      </c>
      <c r="H69" s="38">
        <f t="shared" ref="H69:H132" si="4">O69+S69</f>
        <v>7203.2999999999993</v>
      </c>
      <c r="I69" s="39"/>
      <c r="J69" s="40">
        <v>5956.7</v>
      </c>
      <c r="K69" s="41">
        <f t="shared" si="3"/>
        <v>5956.7</v>
      </c>
      <c r="L69" s="42">
        <v>444.7</v>
      </c>
      <c r="M69" s="42">
        <v>444.7</v>
      </c>
      <c r="N69" s="40">
        <v>793.4</v>
      </c>
      <c r="O69" s="43">
        <f t="shared" ref="O69:O132" si="5">P69+Q69+R69</f>
        <v>801.9</v>
      </c>
      <c r="P69" s="40">
        <v>746</v>
      </c>
      <c r="Q69" s="40">
        <v>55.9</v>
      </c>
      <c r="R69" s="40"/>
      <c r="S69" s="44">
        <f t="shared" ref="S69:S132" si="6">J69+L69+I69</f>
        <v>6401.4</v>
      </c>
      <c r="T69" s="35" t="s">
        <v>162</v>
      </c>
      <c r="U69" s="70" t="s">
        <v>90</v>
      </c>
      <c r="V69" s="71" t="s">
        <v>160</v>
      </c>
      <c r="W69" s="71" t="s">
        <v>161</v>
      </c>
      <c r="X69" s="70" t="s">
        <v>29</v>
      </c>
      <c r="Y69" s="72" t="e">
        <f>#REF!-H69</f>
        <v>#REF!</v>
      </c>
      <c r="Z69" s="73" t="e">
        <f>#REF!-J69</f>
        <v>#REF!</v>
      </c>
      <c r="AA69" s="74" t="e">
        <f>#REF!-L69</f>
        <v>#REF!</v>
      </c>
      <c r="AB69" s="73" t="e">
        <f>#REF!-N69</f>
        <v>#REF!</v>
      </c>
      <c r="AC69" s="72" t="e">
        <f>(#REF!+#REF!)-S69</f>
        <v>#REF!</v>
      </c>
      <c r="AD69" s="50" t="e">
        <f>AC69/(#REF!+#REF!)*100</f>
        <v>#REF!</v>
      </c>
      <c r="AH69" s="33" t="s">
        <v>34</v>
      </c>
    </row>
    <row r="70" spans="1:34" s="69" customFormat="1" x14ac:dyDescent="0.3">
      <c r="A70" s="75">
        <v>66</v>
      </c>
      <c r="B70" s="34" t="s">
        <v>26</v>
      </c>
      <c r="C70" s="34" t="s">
        <v>87</v>
      </c>
      <c r="D70" s="35" t="s">
        <v>163</v>
      </c>
      <c r="E70" s="35" t="s">
        <v>29</v>
      </c>
      <c r="F70" s="36" t="s">
        <v>30</v>
      </c>
      <c r="G70" s="37"/>
      <c r="H70" s="38">
        <f t="shared" si="4"/>
        <v>2810.1</v>
      </c>
      <c r="I70" s="39"/>
      <c r="J70" s="40">
        <v>2542.1</v>
      </c>
      <c r="K70" s="41">
        <f t="shared" ref="K70:K133" si="7">I70+J70</f>
        <v>2542.1</v>
      </c>
      <c r="L70" s="42">
        <v>0</v>
      </c>
      <c r="M70" s="42"/>
      <c r="N70" s="40">
        <v>312.17</v>
      </c>
      <c r="O70" s="43">
        <f t="shared" si="5"/>
        <v>268</v>
      </c>
      <c r="P70" s="40">
        <v>268</v>
      </c>
      <c r="Q70" s="40"/>
      <c r="R70" s="40"/>
      <c r="S70" s="76">
        <f t="shared" si="6"/>
        <v>2542.1</v>
      </c>
      <c r="T70" s="35" t="s">
        <v>164</v>
      </c>
      <c r="U70" s="34" t="s">
        <v>90</v>
      </c>
      <c r="V70" s="35" t="s">
        <v>163</v>
      </c>
      <c r="W70" s="35" t="s">
        <v>29</v>
      </c>
      <c r="X70" s="34" t="s">
        <v>29</v>
      </c>
      <c r="Y70" s="77" t="e">
        <f>#REF!-H70</f>
        <v>#REF!</v>
      </c>
      <c r="Z70" s="78" t="e">
        <f>#REF!-J70</f>
        <v>#REF!</v>
      </c>
      <c r="AA70" s="79" t="e">
        <f>#REF!-L70</f>
        <v>#REF!</v>
      </c>
      <c r="AB70" s="78" t="e">
        <f>#REF!-N70</f>
        <v>#REF!</v>
      </c>
      <c r="AC70" s="77" t="e">
        <f>(#REF!+#REF!)-S70</f>
        <v>#REF!</v>
      </c>
      <c r="AD70" s="80" t="e">
        <f>AC70/(#REF!+#REF!)*100</f>
        <v>#REF!</v>
      </c>
      <c r="AG70" s="81"/>
      <c r="AH70" s="33" t="s">
        <v>34</v>
      </c>
    </row>
    <row r="71" spans="1:34" s="69" customFormat="1" ht="21" x14ac:dyDescent="0.3">
      <c r="A71" s="75">
        <v>67</v>
      </c>
      <c r="B71" s="82" t="s">
        <v>26</v>
      </c>
      <c r="C71" s="82" t="s">
        <v>165</v>
      </c>
      <c r="D71" s="83" t="s">
        <v>83</v>
      </c>
      <c r="E71" s="83" t="s">
        <v>29</v>
      </c>
      <c r="F71" s="84" t="s">
        <v>30</v>
      </c>
      <c r="G71" s="85"/>
      <c r="H71" s="86">
        <f t="shared" si="4"/>
        <v>3210.1800000000003</v>
      </c>
      <c r="I71" s="87"/>
      <c r="J71" s="88">
        <v>2407.58</v>
      </c>
      <c r="K71" s="89">
        <f t="shared" si="7"/>
        <v>2407.58</v>
      </c>
      <c r="L71" s="90">
        <v>444.8</v>
      </c>
      <c r="M71" s="90"/>
      <c r="N71" s="88">
        <v>224</v>
      </c>
      <c r="O71" s="91">
        <f t="shared" si="5"/>
        <v>357.8</v>
      </c>
      <c r="P71" s="88">
        <v>224</v>
      </c>
      <c r="Q71" s="88">
        <v>133.80000000000001</v>
      </c>
      <c r="R71" s="88"/>
      <c r="S71" s="92">
        <f t="shared" si="6"/>
        <v>2852.38</v>
      </c>
      <c r="T71" s="93" t="s">
        <v>57</v>
      </c>
      <c r="U71" s="82" t="s">
        <v>166</v>
      </c>
      <c r="V71" s="83" t="s">
        <v>83</v>
      </c>
      <c r="W71" s="83" t="s">
        <v>29</v>
      </c>
      <c r="X71" s="82" t="s">
        <v>29</v>
      </c>
      <c r="Y71" s="94" t="e">
        <f>#REF!-H71</f>
        <v>#REF!</v>
      </c>
      <c r="Z71" s="95" t="e">
        <f>#REF!-J71</f>
        <v>#REF!</v>
      </c>
      <c r="AA71" s="96" t="e">
        <f>#REF!-L71</f>
        <v>#REF!</v>
      </c>
      <c r="AB71" s="95" t="e">
        <f>#REF!-N71</f>
        <v>#REF!</v>
      </c>
      <c r="AC71" s="94" t="e">
        <f>(#REF!+#REF!)-S71</f>
        <v>#REF!</v>
      </c>
      <c r="AD71" s="97" t="e">
        <f>AC71/(#REF!+#REF!)*100</f>
        <v>#REF!</v>
      </c>
      <c r="AE71" s="98"/>
      <c r="AF71" s="98"/>
      <c r="AG71" s="99"/>
      <c r="AH71" s="100" t="s">
        <v>167</v>
      </c>
    </row>
    <row r="72" spans="1:34" x14ac:dyDescent="0.3">
      <c r="A72" s="101">
        <v>68</v>
      </c>
      <c r="B72" s="34" t="s">
        <v>26</v>
      </c>
      <c r="C72" s="34" t="s">
        <v>165</v>
      </c>
      <c r="D72" s="35" t="s">
        <v>109</v>
      </c>
      <c r="E72" s="35" t="s">
        <v>29</v>
      </c>
      <c r="F72" s="36" t="s">
        <v>30</v>
      </c>
      <c r="G72" s="37" t="s">
        <v>31</v>
      </c>
      <c r="H72" s="38">
        <f t="shared" si="4"/>
        <v>44.306644674835056</v>
      </c>
      <c r="I72" s="39"/>
      <c r="J72" s="40">
        <v>41.3</v>
      </c>
      <c r="K72" s="41">
        <f t="shared" si="7"/>
        <v>41.3</v>
      </c>
      <c r="L72" s="42"/>
      <c r="M72" s="42"/>
      <c r="N72" s="40">
        <v>9.18</v>
      </c>
      <c r="O72" s="43">
        <f t="shared" si="5"/>
        <v>3.0066446748350613</v>
      </c>
      <c r="P72" s="41">
        <f>310*AE72</f>
        <v>2.6821866163996231</v>
      </c>
      <c r="Q72" s="41">
        <f>37.5*AE72</f>
        <v>0.32445805843543829</v>
      </c>
      <c r="R72" s="41"/>
      <c r="S72" s="109">
        <f t="shared" si="6"/>
        <v>41.3</v>
      </c>
      <c r="T72" s="35" t="s">
        <v>168</v>
      </c>
      <c r="U72" s="45" t="s">
        <v>166</v>
      </c>
      <c r="V72" s="46" t="s">
        <v>169</v>
      </c>
      <c r="W72" s="46" t="s">
        <v>170</v>
      </c>
      <c r="X72" s="45" t="s">
        <v>29</v>
      </c>
      <c r="Y72" s="72" t="e">
        <f>#REF!-H72</f>
        <v>#REF!</v>
      </c>
      <c r="Z72" s="73" t="e">
        <f>#REF!-J72</f>
        <v>#REF!</v>
      </c>
      <c r="AA72" s="74" t="e">
        <f>#REF!-L72</f>
        <v>#REF!</v>
      </c>
      <c r="AB72" s="73" t="e">
        <f>#REF!-N72</f>
        <v>#REF!</v>
      </c>
      <c r="AC72" s="72" t="e">
        <f>(#REF!+#REF!)-S72</f>
        <v>#REF!</v>
      </c>
      <c r="AD72" s="50" t="e">
        <f>AC72/(#REF!+#REF!)*100</f>
        <v>#REF!</v>
      </c>
      <c r="AE72" s="7">
        <f>N72/1061</f>
        <v>8.6522148916116873E-3</v>
      </c>
      <c r="AH72" s="33" t="s">
        <v>34</v>
      </c>
    </row>
    <row r="73" spans="1:34" x14ac:dyDescent="0.3">
      <c r="A73" s="75">
        <v>69</v>
      </c>
      <c r="B73" s="34" t="s">
        <v>26</v>
      </c>
      <c r="C73" s="34" t="s">
        <v>165</v>
      </c>
      <c r="D73" s="35" t="s">
        <v>109</v>
      </c>
      <c r="E73" s="35" t="s">
        <v>29</v>
      </c>
      <c r="F73" s="36" t="s">
        <v>30</v>
      </c>
      <c r="G73" s="37" t="s">
        <v>31</v>
      </c>
      <c r="H73" s="38">
        <f t="shared" si="4"/>
        <v>1035.2316163996231</v>
      </c>
      <c r="I73" s="39">
        <v>418.34</v>
      </c>
      <c r="J73" s="40">
        <v>566.83000000000004</v>
      </c>
      <c r="K73" s="41">
        <f t="shared" si="7"/>
        <v>985.17000000000007</v>
      </c>
      <c r="L73" s="42"/>
      <c r="M73" s="42"/>
      <c r="N73" s="40">
        <v>152.85</v>
      </c>
      <c r="O73" s="43">
        <f t="shared" si="5"/>
        <v>50.061616399622999</v>
      </c>
      <c r="P73" s="41">
        <f>310*AE73</f>
        <v>44.65928369462771</v>
      </c>
      <c r="Q73" s="41">
        <f>37.5*AE73</f>
        <v>5.4023327049952874</v>
      </c>
      <c r="R73" s="41"/>
      <c r="S73" s="109">
        <f t="shared" si="6"/>
        <v>985.17000000000007</v>
      </c>
      <c r="T73" s="35" t="s">
        <v>171</v>
      </c>
      <c r="U73" s="45" t="s">
        <v>166</v>
      </c>
      <c r="V73" s="46" t="s">
        <v>172</v>
      </c>
      <c r="W73" s="46" t="s">
        <v>173</v>
      </c>
      <c r="X73" s="45" t="s">
        <v>29</v>
      </c>
      <c r="Y73" s="72" t="e">
        <f>#REF!-H73</f>
        <v>#REF!</v>
      </c>
      <c r="Z73" s="73" t="e">
        <f>#REF!-J73</f>
        <v>#REF!</v>
      </c>
      <c r="AA73" s="74" t="e">
        <f>#REF!-L73</f>
        <v>#REF!</v>
      </c>
      <c r="AB73" s="73" t="e">
        <f>#REF!-N73</f>
        <v>#REF!</v>
      </c>
      <c r="AC73" s="72" t="e">
        <f>(#REF!+#REF!)-S73</f>
        <v>#REF!</v>
      </c>
      <c r="AD73" s="50" t="e">
        <f>AC73/(#REF!+#REF!)*100</f>
        <v>#REF!</v>
      </c>
      <c r="AE73" s="7">
        <f>N73/1061</f>
        <v>0.144062205466541</v>
      </c>
      <c r="AH73" s="33" t="s">
        <v>34</v>
      </c>
    </row>
    <row r="74" spans="1:34" x14ac:dyDescent="0.3">
      <c r="A74" s="75">
        <v>70</v>
      </c>
      <c r="B74" s="34" t="s">
        <v>26</v>
      </c>
      <c r="C74" s="34" t="s">
        <v>165</v>
      </c>
      <c r="D74" s="35" t="s">
        <v>109</v>
      </c>
      <c r="E74" s="35" t="s">
        <v>29</v>
      </c>
      <c r="F74" s="36" t="s">
        <v>30</v>
      </c>
      <c r="G74" s="37" t="s">
        <v>31</v>
      </c>
      <c r="H74" s="38">
        <f t="shared" si="4"/>
        <v>4742.0917389255419</v>
      </c>
      <c r="I74" s="39"/>
      <c r="J74" s="40">
        <v>4043.16</v>
      </c>
      <c r="K74" s="41">
        <f t="shared" si="7"/>
        <v>4043.16</v>
      </c>
      <c r="L74" s="42">
        <v>404.5</v>
      </c>
      <c r="M74" s="42">
        <f>116.9+183.8</f>
        <v>300.70000000000005</v>
      </c>
      <c r="N74" s="40">
        <v>898.97</v>
      </c>
      <c r="O74" s="43">
        <f t="shared" si="5"/>
        <v>294.43173892554199</v>
      </c>
      <c r="P74" s="41">
        <f>310*AE74</f>
        <v>262.65852968897269</v>
      </c>
      <c r="Q74" s="41">
        <f>37.5*AE74</f>
        <v>31.773209236569276</v>
      </c>
      <c r="R74" s="41"/>
      <c r="S74" s="109">
        <f t="shared" si="6"/>
        <v>4447.66</v>
      </c>
      <c r="T74" s="35" t="s">
        <v>174</v>
      </c>
      <c r="U74" s="45" t="s">
        <v>166</v>
      </c>
      <c r="V74" s="46" t="s">
        <v>109</v>
      </c>
      <c r="W74" s="46" t="s">
        <v>29</v>
      </c>
      <c r="X74" s="45" t="s">
        <v>29</v>
      </c>
      <c r="Y74" s="72" t="e">
        <f>#REF!-H74</f>
        <v>#REF!</v>
      </c>
      <c r="Z74" s="73" t="e">
        <f>#REF!-J74</f>
        <v>#REF!</v>
      </c>
      <c r="AA74" s="74" t="e">
        <f>#REF!-L74</f>
        <v>#REF!</v>
      </c>
      <c r="AB74" s="73" t="e">
        <f>#REF!-N74</f>
        <v>#REF!</v>
      </c>
      <c r="AC74" s="72" t="e">
        <f>(#REF!+#REF!)-S74</f>
        <v>#REF!</v>
      </c>
      <c r="AD74" s="50" t="e">
        <f>AC74/(#REF!+#REF!)*100</f>
        <v>#REF!</v>
      </c>
      <c r="AE74" s="7">
        <f>N74/1061</f>
        <v>0.84728557964184736</v>
      </c>
      <c r="AH74" s="33" t="s">
        <v>34</v>
      </c>
    </row>
    <row r="75" spans="1:34" s="69" customFormat="1" ht="21" x14ac:dyDescent="0.3">
      <c r="A75" s="75">
        <v>71</v>
      </c>
      <c r="B75" s="82" t="s">
        <v>26</v>
      </c>
      <c r="C75" s="82" t="s">
        <v>165</v>
      </c>
      <c r="D75" s="83" t="s">
        <v>115</v>
      </c>
      <c r="E75" s="83" t="s">
        <v>29</v>
      </c>
      <c r="F75" s="84" t="s">
        <v>30</v>
      </c>
      <c r="G75" s="85"/>
      <c r="H75" s="86">
        <f t="shared" si="4"/>
        <v>3278.6</v>
      </c>
      <c r="I75" s="87"/>
      <c r="J75" s="88">
        <v>2259.4</v>
      </c>
      <c r="K75" s="89">
        <f t="shared" si="7"/>
        <v>2259.4</v>
      </c>
      <c r="L75" s="90">
        <f>454.9+66.9</f>
        <v>521.79999999999995</v>
      </c>
      <c r="M75" s="90">
        <f>297.4+66.9</f>
        <v>364.29999999999995</v>
      </c>
      <c r="N75" s="88">
        <v>599.20000000000005</v>
      </c>
      <c r="O75" s="91">
        <f t="shared" si="5"/>
        <v>497.4</v>
      </c>
      <c r="P75" s="88">
        <v>351</v>
      </c>
      <c r="Q75" s="88">
        <f>17.3+1.2+66.9</f>
        <v>85.4</v>
      </c>
      <c r="R75" s="88">
        <v>61</v>
      </c>
      <c r="S75" s="92">
        <f t="shared" si="6"/>
        <v>2781.2</v>
      </c>
      <c r="T75" s="93" t="s">
        <v>57</v>
      </c>
      <c r="U75" s="82" t="s">
        <v>166</v>
      </c>
      <c r="V75" s="83" t="s">
        <v>115</v>
      </c>
      <c r="W75" s="83" t="s">
        <v>29</v>
      </c>
      <c r="X75" s="82" t="s">
        <v>29</v>
      </c>
      <c r="Y75" s="94" t="e">
        <f>#REF!-H75</f>
        <v>#REF!</v>
      </c>
      <c r="Z75" s="95" t="e">
        <f>#REF!-J75</f>
        <v>#REF!</v>
      </c>
      <c r="AA75" s="96" t="e">
        <f>#REF!-L75</f>
        <v>#REF!</v>
      </c>
      <c r="AB75" s="95" t="e">
        <f>#REF!-N75</f>
        <v>#REF!</v>
      </c>
      <c r="AC75" s="94" t="e">
        <f>(#REF!+#REF!)-S75</f>
        <v>#REF!</v>
      </c>
      <c r="AD75" s="97" t="e">
        <f>AC75/(#REF!+#REF!)*100</f>
        <v>#REF!</v>
      </c>
      <c r="AE75" s="98"/>
      <c r="AF75" s="98"/>
      <c r="AG75" s="99"/>
      <c r="AH75" s="100" t="s">
        <v>175</v>
      </c>
    </row>
    <row r="76" spans="1:34" s="69" customFormat="1" ht="21" x14ac:dyDescent="0.3">
      <c r="A76" s="101">
        <v>72</v>
      </c>
      <c r="B76" s="82" t="s">
        <v>26</v>
      </c>
      <c r="C76" s="82" t="s">
        <v>165</v>
      </c>
      <c r="D76" s="83" t="s">
        <v>118</v>
      </c>
      <c r="E76" s="83" t="s">
        <v>29</v>
      </c>
      <c r="F76" s="84" t="s">
        <v>30</v>
      </c>
      <c r="G76" s="85"/>
      <c r="H76" s="102">
        <f t="shared" si="4"/>
        <v>2860.05</v>
      </c>
      <c r="I76" s="87"/>
      <c r="J76" s="88">
        <v>2149.4499999999998</v>
      </c>
      <c r="K76" s="89">
        <f t="shared" si="7"/>
        <v>2149.4499999999998</v>
      </c>
      <c r="L76" s="103">
        <f>235+89.8</f>
        <v>324.8</v>
      </c>
      <c r="M76" s="103">
        <v>89.8</v>
      </c>
      <c r="N76" s="88">
        <v>476.73</v>
      </c>
      <c r="O76" s="91">
        <f t="shared" si="5"/>
        <v>385.8</v>
      </c>
      <c r="P76" s="88">
        <v>290</v>
      </c>
      <c r="Q76" s="88">
        <f>110.7-14.9</f>
        <v>95.8</v>
      </c>
      <c r="R76" s="88"/>
      <c r="S76" s="92">
        <f t="shared" si="6"/>
        <v>2474.25</v>
      </c>
      <c r="T76" s="93" t="s">
        <v>57</v>
      </c>
      <c r="U76" s="82" t="s">
        <v>166</v>
      </c>
      <c r="V76" s="83" t="s">
        <v>118</v>
      </c>
      <c r="W76" s="83" t="s">
        <v>29</v>
      </c>
      <c r="X76" s="82" t="s">
        <v>29</v>
      </c>
      <c r="Y76" s="94" t="e">
        <f>#REF!-H76</f>
        <v>#REF!</v>
      </c>
      <c r="Z76" s="95" t="e">
        <f>#REF!-J76</f>
        <v>#REF!</v>
      </c>
      <c r="AA76" s="96" t="e">
        <f>#REF!-L76</f>
        <v>#REF!</v>
      </c>
      <c r="AB76" s="95" t="e">
        <f>#REF!-N76</f>
        <v>#REF!</v>
      </c>
      <c r="AC76" s="94" t="e">
        <f>(#REF!+#REF!)-S76</f>
        <v>#REF!</v>
      </c>
      <c r="AD76" s="97" t="e">
        <f>AC76/(#REF!+#REF!)*100</f>
        <v>#REF!</v>
      </c>
      <c r="AE76" s="98"/>
      <c r="AF76" s="98"/>
      <c r="AG76" s="99"/>
      <c r="AH76" s="100" t="s">
        <v>95</v>
      </c>
    </row>
    <row r="77" spans="1:34" s="69" customFormat="1" x14ac:dyDescent="0.3">
      <c r="A77" s="75">
        <v>73</v>
      </c>
      <c r="B77" s="34" t="s">
        <v>26</v>
      </c>
      <c r="C77" s="34" t="s">
        <v>165</v>
      </c>
      <c r="D77" s="35" t="s">
        <v>124</v>
      </c>
      <c r="E77" s="35"/>
      <c r="F77" s="36" t="s">
        <v>30</v>
      </c>
      <c r="G77" s="37" t="s">
        <v>31</v>
      </c>
      <c r="H77" s="38">
        <f t="shared" si="4"/>
        <v>4190.2199999999993</v>
      </c>
      <c r="I77" s="39">
        <v>56.22</v>
      </c>
      <c r="J77" s="40">
        <v>3461.1</v>
      </c>
      <c r="K77" s="41">
        <f t="shared" si="7"/>
        <v>3517.3199999999997</v>
      </c>
      <c r="L77" s="42">
        <v>0</v>
      </c>
      <c r="M77" s="42"/>
      <c r="N77" s="40">
        <v>537</v>
      </c>
      <c r="O77" s="43">
        <f t="shared" si="5"/>
        <v>672.90000000000009</v>
      </c>
      <c r="P77" s="40">
        <v>537</v>
      </c>
      <c r="Q77" s="40">
        <v>37.200000000000003</v>
      </c>
      <c r="R77" s="40">
        <v>98.7</v>
      </c>
      <c r="S77" s="76">
        <f t="shared" si="6"/>
        <v>3517.3199999999997</v>
      </c>
      <c r="T77" s="35" t="s">
        <v>176</v>
      </c>
      <c r="U77" s="34" t="s">
        <v>166</v>
      </c>
      <c r="V77" s="35" t="s">
        <v>177</v>
      </c>
      <c r="W77" s="35" t="s">
        <v>29</v>
      </c>
      <c r="X77" s="34" t="s">
        <v>29</v>
      </c>
      <c r="Y77" s="77" t="e">
        <f>#REF!-H77</f>
        <v>#REF!</v>
      </c>
      <c r="Z77" s="78" t="e">
        <f>#REF!-J77</f>
        <v>#REF!</v>
      </c>
      <c r="AA77" s="79" t="e">
        <f>#REF!-L77</f>
        <v>#REF!</v>
      </c>
      <c r="AB77" s="78" t="e">
        <f>#REF!-N77</f>
        <v>#REF!</v>
      </c>
      <c r="AC77" s="77" t="e">
        <f>(#REF!+#REF!)-S77</f>
        <v>#REF!</v>
      </c>
      <c r="AD77" s="80" t="e">
        <f>AC77/(#REF!+#REF!)*100</f>
        <v>#REF!</v>
      </c>
      <c r="AG77" s="81"/>
      <c r="AH77" s="33" t="s">
        <v>34</v>
      </c>
    </row>
    <row r="78" spans="1:34" x14ac:dyDescent="0.3">
      <c r="A78" s="75">
        <v>74</v>
      </c>
      <c r="B78" s="51" t="s">
        <v>178</v>
      </c>
      <c r="C78" s="51" t="s">
        <v>179</v>
      </c>
      <c r="D78" s="52" t="s">
        <v>180</v>
      </c>
      <c r="E78" s="52" t="s">
        <v>29</v>
      </c>
      <c r="F78" s="53" t="s">
        <v>30</v>
      </c>
      <c r="G78" s="54" t="s">
        <v>31</v>
      </c>
      <c r="H78" s="55">
        <f t="shared" si="4"/>
        <v>4380.71</v>
      </c>
      <c r="I78" s="56">
        <v>56.34</v>
      </c>
      <c r="J78" s="57">
        <v>2755.27</v>
      </c>
      <c r="K78" s="58">
        <f t="shared" si="7"/>
        <v>2811.61</v>
      </c>
      <c r="L78" s="59">
        <v>643</v>
      </c>
      <c r="M78" s="59">
        <v>177</v>
      </c>
      <c r="N78" s="57">
        <v>252.1</v>
      </c>
      <c r="O78" s="60">
        <f t="shared" si="5"/>
        <v>926.1</v>
      </c>
      <c r="P78" s="57">
        <v>169.4</v>
      </c>
      <c r="Q78" s="57">
        <v>0</v>
      </c>
      <c r="R78" s="57">
        <v>756.7</v>
      </c>
      <c r="S78" s="61">
        <f t="shared" si="6"/>
        <v>3454.61</v>
      </c>
      <c r="T78" s="52" t="s">
        <v>181</v>
      </c>
      <c r="U78" s="51" t="s">
        <v>182</v>
      </c>
      <c r="V78" s="52" t="s">
        <v>180</v>
      </c>
      <c r="W78" s="52" t="s">
        <v>29</v>
      </c>
      <c r="X78" s="51" t="s">
        <v>29</v>
      </c>
      <c r="Y78" s="62" t="e">
        <f>#REF!-H78</f>
        <v>#REF!</v>
      </c>
      <c r="Z78" s="63" t="e">
        <f>#REF!-J78</f>
        <v>#REF!</v>
      </c>
      <c r="AA78" s="64" t="e">
        <f>#REF!-L78</f>
        <v>#REF!</v>
      </c>
      <c r="AB78" s="63" t="e">
        <f>#REF!-N78</f>
        <v>#REF!</v>
      </c>
      <c r="AC78" s="62" t="e">
        <f>(#REF!+#REF!)-S78</f>
        <v>#REF!</v>
      </c>
      <c r="AD78" s="65" t="e">
        <f>AC78/(#REF!+#REF!)*100</f>
        <v>#REF!</v>
      </c>
      <c r="AE78" s="66"/>
      <c r="AF78" s="66"/>
      <c r="AG78" s="67"/>
      <c r="AH78" s="68" t="s">
        <v>39</v>
      </c>
    </row>
    <row r="79" spans="1:34" s="69" customFormat="1" x14ac:dyDescent="0.3">
      <c r="A79" s="101">
        <v>75</v>
      </c>
      <c r="B79" s="34" t="s">
        <v>26</v>
      </c>
      <c r="C79" s="34" t="s">
        <v>183</v>
      </c>
      <c r="D79" s="35" t="s">
        <v>184</v>
      </c>
      <c r="E79" s="35" t="s">
        <v>29</v>
      </c>
      <c r="F79" s="36" t="s">
        <v>30</v>
      </c>
      <c r="G79" s="37" t="s">
        <v>31</v>
      </c>
      <c r="H79" s="38">
        <f t="shared" si="4"/>
        <v>3481.9</v>
      </c>
      <c r="I79" s="39"/>
      <c r="J79" s="40">
        <v>2693.3</v>
      </c>
      <c r="K79" s="41">
        <f t="shared" si="7"/>
        <v>2693.3</v>
      </c>
      <c r="L79" s="42">
        <v>419.1</v>
      </c>
      <c r="M79" s="42"/>
      <c r="N79" s="42">
        <v>282.7</v>
      </c>
      <c r="O79" s="43">
        <f t="shared" si="5"/>
        <v>369.5</v>
      </c>
      <c r="P79" s="42">
        <v>314</v>
      </c>
      <c r="Q79" s="42">
        <v>55.5</v>
      </c>
      <c r="R79" s="42"/>
      <c r="S79" s="76">
        <f t="shared" si="6"/>
        <v>3112.4</v>
      </c>
      <c r="T79" s="35" t="s">
        <v>185</v>
      </c>
      <c r="U79" s="34" t="s">
        <v>186</v>
      </c>
      <c r="V79" s="35" t="s">
        <v>184</v>
      </c>
      <c r="W79" s="35" t="s">
        <v>29</v>
      </c>
      <c r="X79" s="34" t="s">
        <v>29</v>
      </c>
      <c r="Y79" s="77" t="e">
        <f>#REF!-H79</f>
        <v>#REF!</v>
      </c>
      <c r="Z79" s="78" t="e">
        <f>#REF!-J79</f>
        <v>#REF!</v>
      </c>
      <c r="AA79" s="79" t="e">
        <f>#REF!-L79</f>
        <v>#REF!</v>
      </c>
      <c r="AB79" s="78" t="e">
        <f>#REF!-N79</f>
        <v>#REF!</v>
      </c>
      <c r="AC79" s="77" t="e">
        <f>(#REF!+#REF!)-S79</f>
        <v>#REF!</v>
      </c>
      <c r="AD79" s="80" t="e">
        <f>AC79/(#REF!+#REF!)*100</f>
        <v>#REF!</v>
      </c>
      <c r="AE79" s="69">
        <f>N79/364.3</f>
        <v>0.7760087839692561</v>
      </c>
      <c r="AG79" s="81"/>
      <c r="AH79" s="33" t="s">
        <v>34</v>
      </c>
    </row>
    <row r="80" spans="1:34" s="69" customFormat="1" x14ac:dyDescent="0.3">
      <c r="A80" s="75">
        <v>76</v>
      </c>
      <c r="B80" s="34" t="s">
        <v>26</v>
      </c>
      <c r="C80" s="34" t="s">
        <v>183</v>
      </c>
      <c r="D80" s="35" t="s">
        <v>77</v>
      </c>
      <c r="E80" s="35" t="s">
        <v>29</v>
      </c>
      <c r="F80" s="36" t="s">
        <v>30</v>
      </c>
      <c r="G80" s="37"/>
      <c r="H80" s="38">
        <f t="shared" si="4"/>
        <v>4640.68</v>
      </c>
      <c r="I80" s="39"/>
      <c r="J80" s="40">
        <v>4145.88</v>
      </c>
      <c r="K80" s="41">
        <f t="shared" si="7"/>
        <v>4145.88</v>
      </c>
      <c r="L80" s="42">
        <v>0</v>
      </c>
      <c r="M80" s="42"/>
      <c r="N80" s="40">
        <v>494.8</v>
      </c>
      <c r="O80" s="43">
        <f t="shared" si="5"/>
        <v>494.8</v>
      </c>
      <c r="P80" s="40">
        <v>454</v>
      </c>
      <c r="Q80" s="40">
        <v>40.799999999999997</v>
      </c>
      <c r="R80" s="40"/>
      <c r="S80" s="76">
        <f t="shared" si="6"/>
        <v>4145.88</v>
      </c>
      <c r="T80" s="35" t="s">
        <v>187</v>
      </c>
      <c r="U80" s="34" t="s">
        <v>186</v>
      </c>
      <c r="V80" s="35" t="s">
        <v>77</v>
      </c>
      <c r="W80" s="35" t="s">
        <v>29</v>
      </c>
      <c r="X80" s="34" t="s">
        <v>29</v>
      </c>
      <c r="Y80" s="77" t="e">
        <f>#REF!-H80</f>
        <v>#REF!</v>
      </c>
      <c r="Z80" s="78" t="e">
        <f>#REF!-J80</f>
        <v>#REF!</v>
      </c>
      <c r="AA80" s="79" t="e">
        <f>#REF!-L80</f>
        <v>#REF!</v>
      </c>
      <c r="AB80" s="78" t="e">
        <f>#REF!-N80</f>
        <v>#REF!</v>
      </c>
      <c r="AC80" s="77" t="e">
        <f>(#REF!+#REF!)-S80</f>
        <v>#REF!</v>
      </c>
      <c r="AD80" s="80" t="e">
        <f>AC80/(#REF!+#REF!)*100</f>
        <v>#REF!</v>
      </c>
      <c r="AG80" s="81"/>
      <c r="AH80" s="33" t="s">
        <v>34</v>
      </c>
    </row>
    <row r="81" spans="1:34" s="69" customFormat="1" x14ac:dyDescent="0.3">
      <c r="A81" s="75">
        <v>77</v>
      </c>
      <c r="B81" s="34" t="s">
        <v>26</v>
      </c>
      <c r="C81" s="34" t="s">
        <v>188</v>
      </c>
      <c r="D81" s="35" t="s">
        <v>189</v>
      </c>
      <c r="E81" s="35" t="s">
        <v>29</v>
      </c>
      <c r="F81" s="36" t="s">
        <v>30</v>
      </c>
      <c r="G81" s="37" t="s">
        <v>31</v>
      </c>
      <c r="H81" s="38">
        <f t="shared" si="4"/>
        <v>4310.1899999999996</v>
      </c>
      <c r="I81" s="39"/>
      <c r="J81" s="40">
        <v>2988.99</v>
      </c>
      <c r="K81" s="41">
        <f t="shared" si="7"/>
        <v>2988.99</v>
      </c>
      <c r="L81" s="42">
        <v>802.3</v>
      </c>
      <c r="M81" s="42"/>
      <c r="N81" s="40">
        <v>518.9</v>
      </c>
      <c r="O81" s="43">
        <f t="shared" si="5"/>
        <v>518.9</v>
      </c>
      <c r="P81" s="40">
        <v>494</v>
      </c>
      <c r="Q81" s="40">
        <v>24.9</v>
      </c>
      <c r="R81" s="40"/>
      <c r="S81" s="76">
        <f t="shared" si="6"/>
        <v>3791.29</v>
      </c>
      <c r="T81" s="35" t="s">
        <v>190</v>
      </c>
      <c r="U81" s="34" t="s">
        <v>191</v>
      </c>
      <c r="V81" s="35" t="s">
        <v>189</v>
      </c>
      <c r="W81" s="35" t="s">
        <v>29</v>
      </c>
      <c r="X81" s="34" t="s">
        <v>29</v>
      </c>
      <c r="Y81" s="77" t="e">
        <f>#REF!-H81</f>
        <v>#REF!</v>
      </c>
      <c r="Z81" s="78" t="e">
        <f>#REF!-J81</f>
        <v>#REF!</v>
      </c>
      <c r="AA81" s="79" t="e">
        <f>#REF!-L81</f>
        <v>#REF!</v>
      </c>
      <c r="AB81" s="78" t="e">
        <f>#REF!-N81</f>
        <v>#REF!</v>
      </c>
      <c r="AC81" s="77" t="e">
        <f>(#REF!+#REF!)-S81</f>
        <v>#REF!</v>
      </c>
      <c r="AD81" s="80" t="e">
        <f>AC81/(#REF!+#REF!)*100</f>
        <v>#REF!</v>
      </c>
      <c r="AG81" s="81"/>
      <c r="AH81" s="33" t="s">
        <v>34</v>
      </c>
    </row>
    <row r="82" spans="1:34" s="69" customFormat="1" ht="21" x14ac:dyDescent="0.3">
      <c r="A82" s="101">
        <v>78</v>
      </c>
      <c r="B82" s="82" t="s">
        <v>26</v>
      </c>
      <c r="C82" s="82" t="s">
        <v>188</v>
      </c>
      <c r="D82" s="83" t="s">
        <v>92</v>
      </c>
      <c r="E82" s="83" t="s">
        <v>29</v>
      </c>
      <c r="F82" s="84" t="s">
        <v>30</v>
      </c>
      <c r="G82" s="85"/>
      <c r="H82" s="86">
        <f t="shared" si="4"/>
        <v>2840.7499999999995</v>
      </c>
      <c r="I82" s="87">
        <v>0</v>
      </c>
      <c r="J82" s="88">
        <v>2414.4499999999998</v>
      </c>
      <c r="K82" s="89">
        <f t="shared" si="7"/>
        <v>2414.4499999999998</v>
      </c>
      <c r="L82" s="90">
        <v>190.2</v>
      </c>
      <c r="M82" s="90"/>
      <c r="N82" s="88">
        <v>240.7</v>
      </c>
      <c r="O82" s="91">
        <f t="shared" si="5"/>
        <v>236.1</v>
      </c>
      <c r="P82" s="88">
        <v>219</v>
      </c>
      <c r="Q82" s="88">
        <v>17.100000000000001</v>
      </c>
      <c r="R82" s="88"/>
      <c r="S82" s="92">
        <f t="shared" si="6"/>
        <v>2604.6499999999996</v>
      </c>
      <c r="T82" s="93" t="s">
        <v>57</v>
      </c>
      <c r="U82" s="82" t="s">
        <v>191</v>
      </c>
      <c r="V82" s="83" t="s">
        <v>94</v>
      </c>
      <c r="W82" s="83" t="s">
        <v>29</v>
      </c>
      <c r="X82" s="82" t="s">
        <v>29</v>
      </c>
      <c r="Y82" s="94" t="e">
        <f>#REF!-H82</f>
        <v>#REF!</v>
      </c>
      <c r="Z82" s="95" t="e">
        <f>#REF!-J82</f>
        <v>#REF!</v>
      </c>
      <c r="AA82" s="96" t="e">
        <f>#REF!-L82</f>
        <v>#REF!</v>
      </c>
      <c r="AB82" s="95" t="e">
        <f>#REF!-N82</f>
        <v>#REF!</v>
      </c>
      <c r="AC82" s="94" t="e">
        <f>(#REF!+#REF!)-S82</f>
        <v>#REF!</v>
      </c>
      <c r="AD82" s="97" t="e">
        <f>AC82/(#REF!+#REF!)*100</f>
        <v>#REF!</v>
      </c>
      <c r="AE82" s="98"/>
      <c r="AF82" s="98"/>
      <c r="AG82" s="99"/>
      <c r="AH82" s="100" t="s">
        <v>114</v>
      </c>
    </row>
    <row r="83" spans="1:34" s="69" customFormat="1" ht="21" x14ac:dyDescent="0.3">
      <c r="A83" s="75">
        <v>79</v>
      </c>
      <c r="B83" s="82" t="s">
        <v>26</v>
      </c>
      <c r="C83" s="82" t="s">
        <v>188</v>
      </c>
      <c r="D83" s="83" t="s">
        <v>94</v>
      </c>
      <c r="E83" s="83" t="s">
        <v>29</v>
      </c>
      <c r="F83" s="84" t="s">
        <v>30</v>
      </c>
      <c r="G83" s="85" t="s">
        <v>31</v>
      </c>
      <c r="H83" s="86">
        <f t="shared" si="4"/>
        <v>3529.9900000000002</v>
      </c>
      <c r="I83" s="87"/>
      <c r="J83" s="88">
        <v>2117.59</v>
      </c>
      <c r="K83" s="89">
        <f t="shared" si="7"/>
        <v>2117.59</v>
      </c>
      <c r="L83" s="90">
        <v>925.4</v>
      </c>
      <c r="M83" s="90"/>
      <c r="N83" s="88">
        <v>487</v>
      </c>
      <c r="O83" s="91">
        <f t="shared" si="5"/>
        <v>487</v>
      </c>
      <c r="P83" s="88">
        <v>312</v>
      </c>
      <c r="Q83" s="88">
        <v>175</v>
      </c>
      <c r="R83" s="88"/>
      <c r="S83" s="92">
        <f t="shared" si="6"/>
        <v>3042.9900000000002</v>
      </c>
      <c r="T83" s="93" t="s">
        <v>57</v>
      </c>
      <c r="U83" s="82" t="s">
        <v>191</v>
      </c>
      <c r="V83" s="83" t="s">
        <v>94</v>
      </c>
      <c r="W83" s="83" t="s">
        <v>29</v>
      </c>
      <c r="X83" s="82" t="s">
        <v>29</v>
      </c>
      <c r="Y83" s="94" t="e">
        <f>#REF!-H83</f>
        <v>#REF!</v>
      </c>
      <c r="Z83" s="95" t="e">
        <f>#REF!-J83</f>
        <v>#REF!</v>
      </c>
      <c r="AA83" s="96" t="e">
        <f>#REF!-L83</f>
        <v>#REF!</v>
      </c>
      <c r="AB83" s="95" t="e">
        <f>#REF!-N83</f>
        <v>#REF!</v>
      </c>
      <c r="AC83" s="94" t="e">
        <f>(#REF!+#REF!)-S83</f>
        <v>#REF!</v>
      </c>
      <c r="AD83" s="97" t="e">
        <f>AC83/(#REF!+#REF!)*100</f>
        <v>#REF!</v>
      </c>
      <c r="AE83" s="98"/>
      <c r="AF83" s="98"/>
      <c r="AG83" s="99"/>
      <c r="AH83" s="100" t="s">
        <v>95</v>
      </c>
    </row>
    <row r="84" spans="1:34" x14ac:dyDescent="0.3">
      <c r="A84" s="75">
        <v>80</v>
      </c>
      <c r="B84" s="34" t="s">
        <v>26</v>
      </c>
      <c r="C84" s="34" t="s">
        <v>188</v>
      </c>
      <c r="D84" s="35" t="s">
        <v>192</v>
      </c>
      <c r="E84" s="35" t="s">
        <v>29</v>
      </c>
      <c r="F84" s="36" t="s">
        <v>30</v>
      </c>
      <c r="G84" s="37"/>
      <c r="H84" s="38">
        <f t="shared" si="4"/>
        <v>10035.98</v>
      </c>
      <c r="I84" s="39"/>
      <c r="J84" s="40">
        <v>7289.38</v>
      </c>
      <c r="K84" s="41">
        <f t="shared" si="7"/>
        <v>7289.38</v>
      </c>
      <c r="L84" s="42">
        <v>817.2</v>
      </c>
      <c r="M84" s="42"/>
      <c r="N84" s="40">
        <v>813.93</v>
      </c>
      <c r="O84" s="43">
        <f t="shared" si="5"/>
        <v>1929.4</v>
      </c>
      <c r="P84" s="41">
        <v>1186.8</v>
      </c>
      <c r="Q84" s="41">
        <v>31.9</v>
      </c>
      <c r="R84" s="40">
        <v>710.7</v>
      </c>
      <c r="S84" s="44">
        <f t="shared" si="6"/>
        <v>8106.58</v>
      </c>
      <c r="T84" s="35" t="s">
        <v>193</v>
      </c>
      <c r="U84" s="45" t="s">
        <v>191</v>
      </c>
      <c r="V84" s="46" t="s">
        <v>192</v>
      </c>
      <c r="W84" s="46" t="s">
        <v>29</v>
      </c>
      <c r="X84" s="45" t="s">
        <v>29</v>
      </c>
      <c r="Y84" s="72" t="e">
        <f>#REF!-H84</f>
        <v>#REF!</v>
      </c>
      <c r="Z84" s="73" t="e">
        <f>#REF!-J84</f>
        <v>#REF!</v>
      </c>
      <c r="AA84" s="74" t="e">
        <f>#REF!-L84</f>
        <v>#REF!</v>
      </c>
      <c r="AB84" s="73" t="e">
        <f>#REF!-N84</f>
        <v>#REF!</v>
      </c>
      <c r="AC84" s="72" t="e">
        <f>(#REF!+#REF!)-S84</f>
        <v>#REF!</v>
      </c>
      <c r="AD84" s="50" t="e">
        <f>AC84/(#REF!+#REF!)*100</f>
        <v>#REF!</v>
      </c>
      <c r="AE84" s="7">
        <f>N84/1485</f>
        <v>0.54810101010101009</v>
      </c>
      <c r="AF84" s="7">
        <v>1485</v>
      </c>
      <c r="AH84" s="33" t="s">
        <v>34</v>
      </c>
    </row>
    <row r="85" spans="1:34" x14ac:dyDescent="0.3">
      <c r="A85" s="75">
        <v>81</v>
      </c>
      <c r="B85" s="34" t="s">
        <v>26</v>
      </c>
      <c r="C85" s="34" t="s">
        <v>188</v>
      </c>
      <c r="D85" s="35" t="s">
        <v>85</v>
      </c>
      <c r="E85" s="35" t="s">
        <v>29</v>
      </c>
      <c r="F85" s="36" t="s">
        <v>30</v>
      </c>
      <c r="G85" s="37" t="s">
        <v>31</v>
      </c>
      <c r="H85" s="38">
        <f t="shared" si="4"/>
        <v>1953.27</v>
      </c>
      <c r="I85" s="39"/>
      <c r="J85" s="40">
        <v>1521.57</v>
      </c>
      <c r="K85" s="41">
        <f t="shared" si="7"/>
        <v>1521.57</v>
      </c>
      <c r="L85" s="42">
        <v>139</v>
      </c>
      <c r="M85" s="42"/>
      <c r="N85" s="40">
        <v>292.7</v>
      </c>
      <c r="O85" s="43">
        <f t="shared" si="5"/>
        <v>292.7</v>
      </c>
      <c r="P85" s="40">
        <v>266</v>
      </c>
      <c r="Q85" s="40">
        <f>139-112.3</f>
        <v>26.700000000000003</v>
      </c>
      <c r="R85" s="40"/>
      <c r="S85" s="44">
        <f t="shared" si="6"/>
        <v>1660.57</v>
      </c>
      <c r="T85" s="35" t="s">
        <v>194</v>
      </c>
      <c r="U85" s="70" t="s">
        <v>191</v>
      </c>
      <c r="V85" s="71" t="s">
        <v>85</v>
      </c>
      <c r="W85" s="71" t="s">
        <v>29</v>
      </c>
      <c r="X85" s="70" t="s">
        <v>29</v>
      </c>
      <c r="Y85" s="72" t="e">
        <f>#REF!-H85</f>
        <v>#REF!</v>
      </c>
      <c r="Z85" s="73" t="e">
        <f>#REF!-J85</f>
        <v>#REF!</v>
      </c>
      <c r="AA85" s="74" t="e">
        <f>#REF!-L85</f>
        <v>#REF!</v>
      </c>
      <c r="AB85" s="73" t="e">
        <f>#REF!-N85</f>
        <v>#REF!</v>
      </c>
      <c r="AC85" s="72" t="e">
        <f>(#REF!+#REF!)-S85</f>
        <v>#REF!</v>
      </c>
      <c r="AD85" s="50" t="e">
        <f>AC85/(#REF!+#REF!)*100</f>
        <v>#REF!</v>
      </c>
      <c r="AH85" s="33" t="s">
        <v>34</v>
      </c>
    </row>
    <row r="86" spans="1:34" s="69" customFormat="1" x14ac:dyDescent="0.3">
      <c r="A86" s="101">
        <v>82</v>
      </c>
      <c r="B86" s="34" t="s">
        <v>26</v>
      </c>
      <c r="C86" s="34" t="s">
        <v>188</v>
      </c>
      <c r="D86" s="35" t="s">
        <v>195</v>
      </c>
      <c r="E86" s="35" t="s">
        <v>29</v>
      </c>
      <c r="F86" s="36" t="s">
        <v>30</v>
      </c>
      <c r="G86" s="37"/>
      <c r="H86" s="38">
        <f t="shared" si="4"/>
        <v>3261.7200000000003</v>
      </c>
      <c r="I86" s="39"/>
      <c r="J86" s="40">
        <v>2904.42</v>
      </c>
      <c r="K86" s="41">
        <f t="shared" si="7"/>
        <v>2904.42</v>
      </c>
      <c r="L86" s="42">
        <v>0</v>
      </c>
      <c r="M86" s="42"/>
      <c r="N86" s="40">
        <v>357.3</v>
      </c>
      <c r="O86" s="43">
        <f t="shared" si="5"/>
        <v>357.3</v>
      </c>
      <c r="P86" s="40">
        <v>349</v>
      </c>
      <c r="Q86" s="40">
        <v>8.3000000000000007</v>
      </c>
      <c r="R86" s="40"/>
      <c r="S86" s="76">
        <f t="shared" si="6"/>
        <v>2904.42</v>
      </c>
      <c r="T86" s="35" t="s">
        <v>196</v>
      </c>
      <c r="U86" s="34" t="s">
        <v>191</v>
      </c>
      <c r="V86" s="35" t="s">
        <v>195</v>
      </c>
      <c r="W86" s="35" t="s">
        <v>29</v>
      </c>
      <c r="X86" s="34" t="s">
        <v>29</v>
      </c>
      <c r="Y86" s="77" t="e">
        <f>#REF!-H86</f>
        <v>#REF!</v>
      </c>
      <c r="Z86" s="78" t="e">
        <f>#REF!-J86</f>
        <v>#REF!</v>
      </c>
      <c r="AA86" s="79" t="e">
        <f>#REF!-L86</f>
        <v>#REF!</v>
      </c>
      <c r="AB86" s="78" t="e">
        <f>#REF!-N86</f>
        <v>#REF!</v>
      </c>
      <c r="AC86" s="77" t="e">
        <f>(#REF!+#REF!)-S86</f>
        <v>#REF!</v>
      </c>
      <c r="AD86" s="80" t="e">
        <f>AC86/(#REF!+#REF!)*100</f>
        <v>#REF!</v>
      </c>
      <c r="AG86" s="81"/>
      <c r="AH86" s="33" t="s">
        <v>34</v>
      </c>
    </row>
    <row r="87" spans="1:34" s="69" customFormat="1" x14ac:dyDescent="0.3">
      <c r="A87" s="75">
        <v>83</v>
      </c>
      <c r="B87" s="34" t="s">
        <v>26</v>
      </c>
      <c r="C87" s="34" t="s">
        <v>188</v>
      </c>
      <c r="D87" s="35" t="s">
        <v>109</v>
      </c>
      <c r="E87" s="35" t="s">
        <v>29</v>
      </c>
      <c r="F87" s="36" t="s">
        <v>30</v>
      </c>
      <c r="G87" s="37" t="s">
        <v>31</v>
      </c>
      <c r="H87" s="38">
        <f t="shared" si="4"/>
        <v>3006.9100000000003</v>
      </c>
      <c r="I87" s="39"/>
      <c r="J87" s="40">
        <v>2563.5100000000002</v>
      </c>
      <c r="K87" s="41">
        <f t="shared" si="7"/>
        <v>2563.5100000000002</v>
      </c>
      <c r="L87" s="42">
        <v>0</v>
      </c>
      <c r="M87" s="42"/>
      <c r="N87" s="40">
        <v>366.1</v>
      </c>
      <c r="O87" s="43">
        <f t="shared" si="5"/>
        <v>443.4</v>
      </c>
      <c r="P87" s="40">
        <v>323</v>
      </c>
      <c r="Q87" s="40">
        <v>120.4</v>
      </c>
      <c r="R87" s="40"/>
      <c r="S87" s="76">
        <f t="shared" si="6"/>
        <v>2563.5100000000002</v>
      </c>
      <c r="T87" s="35" t="s">
        <v>197</v>
      </c>
      <c r="U87" s="34" t="s">
        <v>191</v>
      </c>
      <c r="V87" s="35" t="s">
        <v>109</v>
      </c>
      <c r="W87" s="35" t="s">
        <v>29</v>
      </c>
      <c r="X87" s="34" t="s">
        <v>29</v>
      </c>
      <c r="Y87" s="77" t="e">
        <f>#REF!-H87</f>
        <v>#REF!</v>
      </c>
      <c r="Z87" s="78" t="e">
        <f>#REF!-J87</f>
        <v>#REF!</v>
      </c>
      <c r="AA87" s="79" t="e">
        <f>#REF!-L87</f>
        <v>#REF!</v>
      </c>
      <c r="AB87" s="78" t="e">
        <f>#REF!-N87</f>
        <v>#REF!</v>
      </c>
      <c r="AC87" s="77" t="e">
        <f>(#REF!+#REF!)-S87</f>
        <v>#REF!</v>
      </c>
      <c r="AD87" s="80" t="e">
        <f>AC87/(#REF!+#REF!)*100</f>
        <v>#REF!</v>
      </c>
      <c r="AG87" s="81"/>
      <c r="AH87" s="33" t="s">
        <v>34</v>
      </c>
    </row>
    <row r="88" spans="1:34" x14ac:dyDescent="0.3">
      <c r="A88" s="75">
        <v>84</v>
      </c>
      <c r="B88" s="34" t="s">
        <v>26</v>
      </c>
      <c r="C88" s="34" t="s">
        <v>188</v>
      </c>
      <c r="D88" s="35" t="s">
        <v>198</v>
      </c>
      <c r="E88" s="35" t="s">
        <v>29</v>
      </c>
      <c r="F88" s="36" t="s">
        <v>30</v>
      </c>
      <c r="G88" s="37"/>
      <c r="H88" s="38">
        <f t="shared" si="4"/>
        <v>12631.050000000001</v>
      </c>
      <c r="I88" s="39"/>
      <c r="J88" s="40">
        <v>11019.85</v>
      </c>
      <c r="K88" s="41">
        <f t="shared" si="7"/>
        <v>11019.85</v>
      </c>
      <c r="L88" s="42">
        <v>18.5</v>
      </c>
      <c r="M88" s="42"/>
      <c r="N88" s="40">
        <v>1568</v>
      </c>
      <c r="O88" s="43">
        <f t="shared" si="5"/>
        <v>1592.7</v>
      </c>
      <c r="P88" s="40">
        <v>1419</v>
      </c>
      <c r="Q88" s="40">
        <f>149+24.7</f>
        <v>173.7</v>
      </c>
      <c r="R88" s="40"/>
      <c r="S88" s="44">
        <f t="shared" si="6"/>
        <v>11038.35</v>
      </c>
      <c r="T88" s="35" t="s">
        <v>199</v>
      </c>
      <c r="U88" s="70" t="s">
        <v>191</v>
      </c>
      <c r="V88" s="71" t="s">
        <v>198</v>
      </c>
      <c r="W88" s="71" t="s">
        <v>29</v>
      </c>
      <c r="X88" s="70" t="s">
        <v>29</v>
      </c>
      <c r="Y88" s="72" t="e">
        <f>#REF!-H88</f>
        <v>#REF!</v>
      </c>
      <c r="Z88" s="73" t="e">
        <f>#REF!-J88</f>
        <v>#REF!</v>
      </c>
      <c r="AA88" s="74" t="e">
        <f>#REF!-L88</f>
        <v>#REF!</v>
      </c>
      <c r="AB88" s="73" t="e">
        <f>#REF!-N88</f>
        <v>#REF!</v>
      </c>
      <c r="AC88" s="72" t="e">
        <f>(#REF!+#REF!)-S88</f>
        <v>#REF!</v>
      </c>
      <c r="AD88" s="50" t="e">
        <f>AC88/(#REF!+#REF!)*100</f>
        <v>#REF!</v>
      </c>
      <c r="AH88" s="33" t="s">
        <v>34</v>
      </c>
    </row>
    <row r="89" spans="1:34" x14ac:dyDescent="0.3">
      <c r="A89" s="101">
        <v>85</v>
      </c>
      <c r="B89" s="34" t="s">
        <v>26</v>
      </c>
      <c r="C89" s="34" t="s">
        <v>188</v>
      </c>
      <c r="D89" s="35" t="s">
        <v>200</v>
      </c>
      <c r="E89" s="35" t="s">
        <v>29</v>
      </c>
      <c r="F89" s="36" t="s">
        <v>56</v>
      </c>
      <c r="G89" s="37" t="s">
        <v>31</v>
      </c>
      <c r="H89" s="38">
        <f t="shared" si="4"/>
        <v>803.14</v>
      </c>
      <c r="I89" s="39"/>
      <c r="J89" s="40">
        <f>622.64-36.2+36.2</f>
        <v>622.64</v>
      </c>
      <c r="K89" s="41">
        <f t="shared" si="7"/>
        <v>622.64</v>
      </c>
      <c r="L89" s="42">
        <v>85.5</v>
      </c>
      <c r="M89" s="42"/>
      <c r="N89" s="40">
        <v>95</v>
      </c>
      <c r="O89" s="43">
        <f t="shared" si="5"/>
        <v>95</v>
      </c>
      <c r="P89" s="40">
        <v>95</v>
      </c>
      <c r="Q89" s="40"/>
      <c r="R89" s="40"/>
      <c r="S89" s="44">
        <f t="shared" si="6"/>
        <v>708.14</v>
      </c>
      <c r="T89" s="35" t="s">
        <v>201</v>
      </c>
      <c r="U89" s="70" t="s">
        <v>191</v>
      </c>
      <c r="V89" s="71" t="s">
        <v>200</v>
      </c>
      <c r="W89" s="71" t="s">
        <v>29</v>
      </c>
      <c r="X89" s="70" t="s">
        <v>29</v>
      </c>
      <c r="Y89" s="72" t="e">
        <f>#REF!-H89</f>
        <v>#REF!</v>
      </c>
      <c r="Z89" s="73" t="e">
        <f>#REF!-J89</f>
        <v>#REF!</v>
      </c>
      <c r="AA89" s="74" t="e">
        <f>#REF!-L89</f>
        <v>#REF!</v>
      </c>
      <c r="AB89" s="73" t="e">
        <f>#REF!-N89</f>
        <v>#REF!</v>
      </c>
      <c r="AC89" s="72" t="e">
        <f>(#REF!+#REF!)-S89</f>
        <v>#REF!</v>
      </c>
      <c r="AD89" s="50" t="e">
        <f>AC89/(#REF!+#REF!)*100</f>
        <v>#REF!</v>
      </c>
      <c r="AH89" s="33" t="s">
        <v>34</v>
      </c>
    </row>
    <row r="90" spans="1:34" x14ac:dyDescent="0.3">
      <c r="A90" s="75">
        <v>86</v>
      </c>
      <c r="B90" s="34" t="s">
        <v>26</v>
      </c>
      <c r="C90" s="34" t="s">
        <v>188</v>
      </c>
      <c r="D90" s="35" t="s">
        <v>202</v>
      </c>
      <c r="E90" s="35" t="s">
        <v>203</v>
      </c>
      <c r="F90" s="36" t="s">
        <v>30</v>
      </c>
      <c r="G90" s="37"/>
      <c r="H90" s="38">
        <f t="shared" si="4"/>
        <v>6473.37</v>
      </c>
      <c r="I90" s="39"/>
      <c r="J90" s="40">
        <v>4711.17</v>
      </c>
      <c r="K90" s="41">
        <f t="shared" si="7"/>
        <v>4711.17</v>
      </c>
      <c r="L90" s="42">
        <f>190.1+316.8+58.6+66.4</f>
        <v>631.9</v>
      </c>
      <c r="M90" s="42">
        <f>58.6+66.4</f>
        <v>125</v>
      </c>
      <c r="N90" s="40">
        <v>1255.3</v>
      </c>
      <c r="O90" s="43">
        <f t="shared" si="5"/>
        <v>1130.3</v>
      </c>
      <c r="P90" s="40">
        <v>564</v>
      </c>
      <c r="Q90" s="40">
        <v>10.4</v>
      </c>
      <c r="R90" s="40">
        <v>555.9</v>
      </c>
      <c r="S90" s="44">
        <f t="shared" si="6"/>
        <v>5343.07</v>
      </c>
      <c r="T90" s="35" t="s">
        <v>204</v>
      </c>
      <c r="U90" s="70" t="s">
        <v>191</v>
      </c>
      <c r="V90" s="71" t="s">
        <v>202</v>
      </c>
      <c r="W90" s="71" t="s">
        <v>29</v>
      </c>
      <c r="X90" s="70" t="s">
        <v>29</v>
      </c>
      <c r="Y90" s="72" t="e">
        <f>#REF!-H90</f>
        <v>#REF!</v>
      </c>
      <c r="Z90" s="73" t="e">
        <f>#REF!-J90</f>
        <v>#REF!</v>
      </c>
      <c r="AA90" s="74" t="e">
        <f>#REF!-L90</f>
        <v>#REF!</v>
      </c>
      <c r="AB90" s="73" t="e">
        <f>#REF!-N90</f>
        <v>#REF!</v>
      </c>
      <c r="AC90" s="72" t="e">
        <f>(#REF!+#REF!)-S90</f>
        <v>#REF!</v>
      </c>
      <c r="AD90" s="50" t="e">
        <f>AC90/(#REF!+#REF!)*100</f>
        <v>#REF!</v>
      </c>
      <c r="AH90" s="33" t="s">
        <v>34</v>
      </c>
    </row>
    <row r="91" spans="1:34" x14ac:dyDescent="0.3">
      <c r="A91" s="75">
        <v>87</v>
      </c>
      <c r="B91" s="34" t="s">
        <v>26</v>
      </c>
      <c r="C91" s="34" t="s">
        <v>188</v>
      </c>
      <c r="D91" s="35" t="s">
        <v>205</v>
      </c>
      <c r="E91" s="35" t="s">
        <v>29</v>
      </c>
      <c r="F91" s="36" t="s">
        <v>30</v>
      </c>
      <c r="G91" s="37" t="s">
        <v>31</v>
      </c>
      <c r="H91" s="38">
        <f t="shared" si="4"/>
        <v>883.31561214495594</v>
      </c>
      <c r="I91" s="39"/>
      <c r="J91" s="40">
        <v>270.98</v>
      </c>
      <c r="K91" s="41">
        <f t="shared" si="7"/>
        <v>270.98</v>
      </c>
      <c r="L91" s="42">
        <v>576.9</v>
      </c>
      <c r="M91" s="42"/>
      <c r="N91" s="40">
        <v>47.48</v>
      </c>
      <c r="O91" s="43">
        <f t="shared" si="5"/>
        <v>35.435612144955925</v>
      </c>
      <c r="P91" s="41">
        <f>245*AE91</f>
        <v>28.483349657198826</v>
      </c>
      <c r="Q91" s="41">
        <f>59.8*AE91</f>
        <v>6.9522624877571007</v>
      </c>
      <c r="R91" s="40"/>
      <c r="S91" s="44">
        <f t="shared" si="6"/>
        <v>847.88</v>
      </c>
      <c r="T91" s="35" t="s">
        <v>206</v>
      </c>
      <c r="U91" s="45" t="s">
        <v>191</v>
      </c>
      <c r="V91" s="46" t="s">
        <v>207</v>
      </c>
      <c r="W91" s="46" t="s">
        <v>170</v>
      </c>
      <c r="X91" s="45" t="s">
        <v>29</v>
      </c>
      <c r="Y91" s="72" t="e">
        <f>#REF!-H91</f>
        <v>#REF!</v>
      </c>
      <c r="Z91" s="73" t="e">
        <f>#REF!-J91</f>
        <v>#REF!</v>
      </c>
      <c r="AA91" s="74" t="e">
        <f>#REF!-L91</f>
        <v>#REF!</v>
      </c>
      <c r="AB91" s="73" t="e">
        <f>#REF!-N91</f>
        <v>#REF!</v>
      </c>
      <c r="AC91" s="72" t="e">
        <f>(#REF!+#REF!)-S91</f>
        <v>#REF!</v>
      </c>
      <c r="AD91" s="50" t="e">
        <f>AC91/(#REF!+#REF!)*100</f>
        <v>#REF!</v>
      </c>
      <c r="AE91" s="7">
        <f>N91/408.4</f>
        <v>0.11625857002938296</v>
      </c>
      <c r="AF91" s="7">
        <v>408.4</v>
      </c>
      <c r="AH91" s="33" t="s">
        <v>34</v>
      </c>
    </row>
    <row r="92" spans="1:34" x14ac:dyDescent="0.3">
      <c r="A92" s="101">
        <v>88</v>
      </c>
      <c r="B92" s="34" t="s">
        <v>26</v>
      </c>
      <c r="C92" s="34" t="s">
        <v>188</v>
      </c>
      <c r="D92" s="35" t="s">
        <v>205</v>
      </c>
      <c r="E92" s="35" t="s">
        <v>29</v>
      </c>
      <c r="F92" s="36" t="s">
        <v>30</v>
      </c>
      <c r="G92" s="37" t="s">
        <v>31</v>
      </c>
      <c r="H92" s="38">
        <f t="shared" si="4"/>
        <v>2345.2343878550441</v>
      </c>
      <c r="I92" s="39"/>
      <c r="J92" s="40">
        <v>2059.9699999999998</v>
      </c>
      <c r="K92" s="41">
        <f t="shared" si="7"/>
        <v>2059.9699999999998</v>
      </c>
      <c r="L92" s="42">
        <v>15.9</v>
      </c>
      <c r="M92" s="42"/>
      <c r="N92" s="40">
        <v>360.92</v>
      </c>
      <c r="O92" s="43">
        <f t="shared" si="5"/>
        <v>269.36438785504413</v>
      </c>
      <c r="P92" s="41">
        <f>245*AE92</f>
        <v>216.5166503428012</v>
      </c>
      <c r="Q92" s="41">
        <f>59.8*AE92</f>
        <v>52.847737512242901</v>
      </c>
      <c r="R92" s="40"/>
      <c r="S92" s="44">
        <f t="shared" si="6"/>
        <v>2075.87</v>
      </c>
      <c r="T92" s="35" t="s">
        <v>208</v>
      </c>
      <c r="U92" s="45" t="s">
        <v>191</v>
      </c>
      <c r="V92" s="46" t="s">
        <v>205</v>
      </c>
      <c r="W92" s="46" t="s">
        <v>29</v>
      </c>
      <c r="X92" s="45" t="s">
        <v>29</v>
      </c>
      <c r="Y92" s="72" t="e">
        <f>#REF!-H92</f>
        <v>#REF!</v>
      </c>
      <c r="Z92" s="73" t="e">
        <f>#REF!-J92</f>
        <v>#REF!</v>
      </c>
      <c r="AA92" s="74" t="e">
        <f>#REF!-L92</f>
        <v>#REF!</v>
      </c>
      <c r="AB92" s="73" t="e">
        <f>#REF!-N92</f>
        <v>#REF!</v>
      </c>
      <c r="AC92" s="72" t="e">
        <f>(#REF!+#REF!)-S92</f>
        <v>#REF!</v>
      </c>
      <c r="AD92" s="50" t="e">
        <f>AC92/(#REF!+#REF!)*100</f>
        <v>#REF!</v>
      </c>
      <c r="AE92" s="7">
        <f>N92/408.4</f>
        <v>0.88374142997061711</v>
      </c>
      <c r="AH92" s="33" t="s">
        <v>34</v>
      </c>
    </row>
    <row r="93" spans="1:34" x14ac:dyDescent="0.3">
      <c r="A93" s="75">
        <v>89</v>
      </c>
      <c r="B93" s="51" t="s">
        <v>209</v>
      </c>
      <c r="C93" s="51" t="s">
        <v>210</v>
      </c>
      <c r="D93" s="52" t="s">
        <v>211</v>
      </c>
      <c r="E93" s="52" t="s">
        <v>29</v>
      </c>
      <c r="F93" s="53" t="s">
        <v>30</v>
      </c>
      <c r="G93" s="54"/>
      <c r="H93" s="55">
        <f t="shared" si="4"/>
        <v>18501.949999999997</v>
      </c>
      <c r="I93" s="56">
        <v>0</v>
      </c>
      <c r="J93" s="57">
        <v>14742.65</v>
      </c>
      <c r="K93" s="58">
        <f t="shared" si="7"/>
        <v>14742.65</v>
      </c>
      <c r="L93" s="59">
        <f>2153.1-6.9</f>
        <v>2146.1999999999998</v>
      </c>
      <c r="M93" s="59">
        <f>166.7-6.9</f>
        <v>159.79999999999998</v>
      </c>
      <c r="N93" s="57">
        <v>350.98</v>
      </c>
      <c r="O93" s="60">
        <f t="shared" si="5"/>
        <v>1613.1</v>
      </c>
      <c r="P93" s="58">
        <v>1549.1</v>
      </c>
      <c r="Q93" s="58">
        <f>57.1+6.9</f>
        <v>64</v>
      </c>
      <c r="R93" s="57"/>
      <c r="S93" s="61">
        <f t="shared" si="6"/>
        <v>16888.849999999999</v>
      </c>
      <c r="T93" s="52" t="s">
        <v>212</v>
      </c>
      <c r="U93" s="51" t="s">
        <v>213</v>
      </c>
      <c r="V93" s="52" t="s">
        <v>211</v>
      </c>
      <c r="W93" s="52" t="s">
        <v>29</v>
      </c>
      <c r="X93" s="51" t="s">
        <v>29</v>
      </c>
      <c r="Y93" s="62" t="e">
        <f>#REF!-H93</f>
        <v>#REF!</v>
      </c>
      <c r="Z93" s="63" t="e">
        <f>#REF!-J93</f>
        <v>#REF!</v>
      </c>
      <c r="AA93" s="64" t="e">
        <f>#REF!-L93</f>
        <v>#REF!</v>
      </c>
      <c r="AB93" s="63" t="e">
        <f>#REF!-N93</f>
        <v>#REF!</v>
      </c>
      <c r="AC93" s="62" t="e">
        <f>(#REF!+#REF!)-S93</f>
        <v>#REF!</v>
      </c>
      <c r="AD93" s="65" t="e">
        <f>AC93/(#REF!+#REF!)*100</f>
        <v>#REF!</v>
      </c>
      <c r="AE93" s="66">
        <f>N93/2002.7</f>
        <v>0.17525340789933591</v>
      </c>
      <c r="AF93" s="66"/>
      <c r="AG93" s="67"/>
      <c r="AH93" s="68" t="s">
        <v>39</v>
      </c>
    </row>
    <row r="94" spans="1:34" x14ac:dyDescent="0.3">
      <c r="A94" s="75">
        <v>90</v>
      </c>
      <c r="B94" s="34" t="s">
        <v>26</v>
      </c>
      <c r="C94" s="34" t="s">
        <v>214</v>
      </c>
      <c r="D94" s="35" t="s">
        <v>215</v>
      </c>
      <c r="E94" s="35" t="s">
        <v>31</v>
      </c>
      <c r="F94" s="36" t="s">
        <v>30</v>
      </c>
      <c r="G94" s="37"/>
      <c r="H94" s="38">
        <f t="shared" si="4"/>
        <v>3959.87</v>
      </c>
      <c r="I94" s="39"/>
      <c r="J94" s="40">
        <v>2761.87</v>
      </c>
      <c r="K94" s="41">
        <f t="shared" si="7"/>
        <v>2761.87</v>
      </c>
      <c r="L94" s="42">
        <v>803</v>
      </c>
      <c r="M94" s="42"/>
      <c r="N94" s="40">
        <v>395</v>
      </c>
      <c r="O94" s="43">
        <f t="shared" si="5"/>
        <v>395</v>
      </c>
      <c r="P94" s="40">
        <v>366</v>
      </c>
      <c r="Q94" s="40">
        <v>29</v>
      </c>
      <c r="R94" s="40"/>
      <c r="S94" s="44">
        <f t="shared" si="6"/>
        <v>3564.87</v>
      </c>
      <c r="T94" s="35" t="s">
        <v>216</v>
      </c>
      <c r="U94" s="70" t="s">
        <v>217</v>
      </c>
      <c r="V94" s="71" t="s">
        <v>215</v>
      </c>
      <c r="W94" s="71" t="s">
        <v>31</v>
      </c>
      <c r="X94" s="70" t="s">
        <v>29</v>
      </c>
      <c r="Y94" s="72" t="e">
        <f>#REF!-H94</f>
        <v>#REF!</v>
      </c>
      <c r="Z94" s="73" t="e">
        <f>#REF!-J94</f>
        <v>#REF!</v>
      </c>
      <c r="AA94" s="74" t="e">
        <f>#REF!-L94</f>
        <v>#REF!</v>
      </c>
      <c r="AB94" s="73" t="e">
        <f>#REF!-N94</f>
        <v>#REF!</v>
      </c>
      <c r="AC94" s="72" t="e">
        <f>(#REF!+#REF!)-S94</f>
        <v>#REF!</v>
      </c>
      <c r="AD94" s="50" t="e">
        <f>AC94/(#REF!+#REF!)*100</f>
        <v>#REF!</v>
      </c>
      <c r="AH94" s="33" t="s">
        <v>34</v>
      </c>
    </row>
    <row r="95" spans="1:34" s="69" customFormat="1" x14ac:dyDescent="0.3">
      <c r="A95" s="75">
        <v>91</v>
      </c>
      <c r="B95" s="34" t="s">
        <v>26</v>
      </c>
      <c r="C95" s="34" t="s">
        <v>214</v>
      </c>
      <c r="D95" s="35" t="s">
        <v>215</v>
      </c>
      <c r="E95" s="35" t="s">
        <v>161</v>
      </c>
      <c r="F95" s="36" t="s">
        <v>43</v>
      </c>
      <c r="G95" s="37"/>
      <c r="H95" s="38">
        <f t="shared" si="4"/>
        <v>2940.78</v>
      </c>
      <c r="I95" s="39"/>
      <c r="J95" s="40">
        <v>2558.7800000000002</v>
      </c>
      <c r="K95" s="41">
        <f t="shared" si="7"/>
        <v>2558.7800000000002</v>
      </c>
      <c r="L95" s="42">
        <v>0</v>
      </c>
      <c r="M95" s="42"/>
      <c r="N95" s="40">
        <v>279</v>
      </c>
      <c r="O95" s="43">
        <f t="shared" si="5"/>
        <v>382</v>
      </c>
      <c r="P95" s="40">
        <v>330</v>
      </c>
      <c r="Q95" s="40">
        <v>52</v>
      </c>
      <c r="R95" s="40"/>
      <c r="S95" s="76">
        <f t="shared" si="6"/>
        <v>2558.7800000000002</v>
      </c>
      <c r="T95" s="35" t="s">
        <v>218</v>
      </c>
      <c r="U95" s="34" t="s">
        <v>217</v>
      </c>
      <c r="V95" s="35" t="s">
        <v>215</v>
      </c>
      <c r="W95" s="35" t="s">
        <v>161</v>
      </c>
      <c r="X95" s="34" t="s">
        <v>29</v>
      </c>
      <c r="Y95" s="77" t="e">
        <f>#REF!-H95</f>
        <v>#REF!</v>
      </c>
      <c r="Z95" s="78" t="e">
        <f>#REF!-J95</f>
        <v>#REF!</v>
      </c>
      <c r="AA95" s="79" t="e">
        <f>#REF!-L95</f>
        <v>#REF!</v>
      </c>
      <c r="AB95" s="78" t="e">
        <f>#REF!-N95</f>
        <v>#REF!</v>
      </c>
      <c r="AC95" s="77" t="e">
        <f>(#REF!+#REF!)-S95</f>
        <v>#REF!</v>
      </c>
      <c r="AD95" s="80" t="e">
        <f>AC95/(#REF!+#REF!)*100</f>
        <v>#REF!</v>
      </c>
      <c r="AG95" s="81"/>
      <c r="AH95" s="33" t="s">
        <v>34</v>
      </c>
    </row>
    <row r="96" spans="1:34" s="69" customFormat="1" x14ac:dyDescent="0.3">
      <c r="A96" s="101">
        <v>92</v>
      </c>
      <c r="B96" s="34" t="s">
        <v>26</v>
      </c>
      <c r="C96" s="34" t="s">
        <v>214</v>
      </c>
      <c r="D96" s="35" t="s">
        <v>219</v>
      </c>
      <c r="E96" s="35" t="s">
        <v>31</v>
      </c>
      <c r="F96" s="36" t="s">
        <v>30</v>
      </c>
      <c r="G96" s="37"/>
      <c r="H96" s="38">
        <f t="shared" si="4"/>
        <v>5150.4699999999993</v>
      </c>
      <c r="I96" s="39"/>
      <c r="J96" s="40">
        <v>3509.47</v>
      </c>
      <c r="K96" s="41">
        <f t="shared" si="7"/>
        <v>3509.47</v>
      </c>
      <c r="L96" s="42">
        <f>1177+1.3</f>
        <v>1178.3</v>
      </c>
      <c r="M96" s="42"/>
      <c r="N96" s="40">
        <v>445</v>
      </c>
      <c r="O96" s="43">
        <f t="shared" si="5"/>
        <v>462.7</v>
      </c>
      <c r="P96" s="40">
        <v>421</v>
      </c>
      <c r="Q96" s="40">
        <v>41.7</v>
      </c>
      <c r="R96" s="40"/>
      <c r="S96" s="76">
        <f t="shared" si="6"/>
        <v>4687.7699999999995</v>
      </c>
      <c r="T96" s="35" t="s">
        <v>220</v>
      </c>
      <c r="U96" s="34" t="s">
        <v>217</v>
      </c>
      <c r="V96" s="35" t="s">
        <v>219</v>
      </c>
      <c r="W96" s="35" t="s">
        <v>31</v>
      </c>
      <c r="X96" s="34" t="s">
        <v>29</v>
      </c>
      <c r="Y96" s="77" t="e">
        <f>#REF!-H96</f>
        <v>#REF!</v>
      </c>
      <c r="Z96" s="78" t="e">
        <f>#REF!-J96</f>
        <v>#REF!</v>
      </c>
      <c r="AA96" s="79" t="e">
        <f>#REF!-L96</f>
        <v>#REF!</v>
      </c>
      <c r="AB96" s="78" t="e">
        <f>#REF!-N96</f>
        <v>#REF!</v>
      </c>
      <c r="AC96" s="77" t="e">
        <f>(#REF!+#REF!)-S96</f>
        <v>#REF!</v>
      </c>
      <c r="AD96" s="80" t="e">
        <f>AC96/(#REF!+#REF!)*100</f>
        <v>#REF!</v>
      </c>
      <c r="AG96" s="81"/>
      <c r="AH96" s="33" t="s">
        <v>34</v>
      </c>
    </row>
    <row r="97" spans="1:34" s="69" customFormat="1" x14ac:dyDescent="0.3">
      <c r="A97" s="75">
        <v>93</v>
      </c>
      <c r="B97" s="34" t="s">
        <v>26</v>
      </c>
      <c r="C97" s="34" t="s">
        <v>214</v>
      </c>
      <c r="D97" s="35" t="s">
        <v>219</v>
      </c>
      <c r="E97" s="35" t="s">
        <v>161</v>
      </c>
      <c r="F97" s="36" t="s">
        <v>43</v>
      </c>
      <c r="G97" s="37"/>
      <c r="H97" s="38">
        <f t="shared" si="4"/>
        <v>2838.2000000000003</v>
      </c>
      <c r="I97" s="39"/>
      <c r="J97" s="40">
        <f>2534.55+0.15</f>
        <v>2534.7000000000003</v>
      </c>
      <c r="K97" s="41">
        <f t="shared" si="7"/>
        <v>2534.7000000000003</v>
      </c>
      <c r="L97" s="42">
        <v>0</v>
      </c>
      <c r="M97" s="42"/>
      <c r="N97" s="40">
        <v>303.5</v>
      </c>
      <c r="O97" s="43">
        <f t="shared" si="5"/>
        <v>303.5</v>
      </c>
      <c r="P97" s="40">
        <v>265</v>
      </c>
      <c r="Q97" s="40">
        <v>38.5</v>
      </c>
      <c r="R97" s="40"/>
      <c r="S97" s="76">
        <f t="shared" si="6"/>
        <v>2534.7000000000003</v>
      </c>
      <c r="T97" s="35" t="s">
        <v>221</v>
      </c>
      <c r="U97" s="34" t="s">
        <v>217</v>
      </c>
      <c r="V97" s="35" t="s">
        <v>219</v>
      </c>
      <c r="W97" s="35" t="s">
        <v>161</v>
      </c>
      <c r="X97" s="34" t="s">
        <v>29</v>
      </c>
      <c r="Y97" s="77" t="e">
        <f>#REF!-H97</f>
        <v>#REF!</v>
      </c>
      <c r="Z97" s="78" t="e">
        <f>#REF!-J97</f>
        <v>#REF!</v>
      </c>
      <c r="AA97" s="79" t="e">
        <f>#REF!-L97</f>
        <v>#REF!</v>
      </c>
      <c r="AB97" s="78" t="e">
        <f>#REF!-N97</f>
        <v>#REF!</v>
      </c>
      <c r="AC97" s="77" t="e">
        <f>(#REF!+#REF!)-S97</f>
        <v>#REF!</v>
      </c>
      <c r="AD97" s="80" t="e">
        <f>AC97/(#REF!+#REF!)*100</f>
        <v>#REF!</v>
      </c>
      <c r="AG97" s="81"/>
      <c r="AH97" s="33" t="s">
        <v>34</v>
      </c>
    </row>
    <row r="98" spans="1:34" s="69" customFormat="1" x14ac:dyDescent="0.3">
      <c r="A98" s="75">
        <v>94</v>
      </c>
      <c r="B98" s="34" t="s">
        <v>26</v>
      </c>
      <c r="C98" s="34" t="s">
        <v>214</v>
      </c>
      <c r="D98" s="35" t="s">
        <v>222</v>
      </c>
      <c r="E98" s="35" t="s">
        <v>29</v>
      </c>
      <c r="F98" s="36" t="s">
        <v>30</v>
      </c>
      <c r="G98" s="37" t="s">
        <v>31</v>
      </c>
      <c r="H98" s="38">
        <f t="shared" si="4"/>
        <v>5695.5</v>
      </c>
      <c r="I98" s="39"/>
      <c r="J98" s="40">
        <v>4411.08</v>
      </c>
      <c r="K98" s="41">
        <f t="shared" si="7"/>
        <v>4411.08</v>
      </c>
      <c r="L98" s="42">
        <f>631.6-12.9</f>
        <v>618.70000000000005</v>
      </c>
      <c r="M98" s="42"/>
      <c r="N98" s="40">
        <v>557</v>
      </c>
      <c r="O98" s="43">
        <f t="shared" si="5"/>
        <v>665.72</v>
      </c>
      <c r="P98" s="40">
        <v>557</v>
      </c>
      <c r="Q98" s="40">
        <v>108.72</v>
      </c>
      <c r="R98" s="40"/>
      <c r="S98" s="76">
        <f t="shared" si="6"/>
        <v>5029.78</v>
      </c>
      <c r="T98" s="35" t="s">
        <v>223</v>
      </c>
      <c r="U98" s="34" t="s">
        <v>217</v>
      </c>
      <c r="V98" s="35" t="s">
        <v>222</v>
      </c>
      <c r="W98" s="35" t="s">
        <v>29</v>
      </c>
      <c r="X98" s="34" t="s">
        <v>29</v>
      </c>
      <c r="Y98" s="77" t="e">
        <f>#REF!-H98</f>
        <v>#REF!</v>
      </c>
      <c r="Z98" s="78" t="e">
        <f>#REF!-J98</f>
        <v>#REF!</v>
      </c>
      <c r="AA98" s="79" t="e">
        <f>#REF!-L98</f>
        <v>#REF!</v>
      </c>
      <c r="AB98" s="78" t="e">
        <f>#REF!-N98</f>
        <v>#REF!</v>
      </c>
      <c r="AC98" s="77" t="e">
        <f>(#REF!+#REF!)-S98</f>
        <v>#REF!</v>
      </c>
      <c r="AD98" s="80" t="e">
        <f>AC98/(#REF!+#REF!)*100</f>
        <v>#REF!</v>
      </c>
      <c r="AG98" s="81"/>
      <c r="AH98" s="33" t="s">
        <v>34</v>
      </c>
    </row>
    <row r="99" spans="1:34" s="69" customFormat="1" x14ac:dyDescent="0.3">
      <c r="A99" s="101">
        <v>95</v>
      </c>
      <c r="B99" s="34" t="s">
        <v>26</v>
      </c>
      <c r="C99" s="34" t="s">
        <v>214</v>
      </c>
      <c r="D99" s="35" t="s">
        <v>224</v>
      </c>
      <c r="E99" s="35" t="s">
        <v>29</v>
      </c>
      <c r="F99" s="36" t="s">
        <v>30</v>
      </c>
      <c r="G99" s="37"/>
      <c r="H99" s="38">
        <f t="shared" si="4"/>
        <v>3978.49</v>
      </c>
      <c r="I99" s="39"/>
      <c r="J99" s="40">
        <v>2789.79</v>
      </c>
      <c r="K99" s="41">
        <f t="shared" si="7"/>
        <v>2789.79</v>
      </c>
      <c r="L99" s="42">
        <v>855.7</v>
      </c>
      <c r="M99" s="42"/>
      <c r="N99" s="40">
        <v>341.96</v>
      </c>
      <c r="O99" s="43">
        <f t="shared" si="5"/>
        <v>333</v>
      </c>
      <c r="P99" s="40">
        <v>333</v>
      </c>
      <c r="Q99" s="40"/>
      <c r="R99" s="40"/>
      <c r="S99" s="76">
        <f t="shared" si="6"/>
        <v>3645.49</v>
      </c>
      <c r="T99" s="35" t="s">
        <v>225</v>
      </c>
      <c r="U99" s="34" t="s">
        <v>217</v>
      </c>
      <c r="V99" s="35" t="s">
        <v>224</v>
      </c>
      <c r="W99" s="35" t="s">
        <v>29</v>
      </c>
      <c r="X99" s="34" t="s">
        <v>29</v>
      </c>
      <c r="Y99" s="77" t="e">
        <f>#REF!-H99</f>
        <v>#REF!</v>
      </c>
      <c r="Z99" s="78" t="e">
        <f>#REF!-J99</f>
        <v>#REF!</v>
      </c>
      <c r="AA99" s="79" t="e">
        <f>#REF!-L99</f>
        <v>#REF!</v>
      </c>
      <c r="AB99" s="78" t="e">
        <f>#REF!-N99</f>
        <v>#REF!</v>
      </c>
      <c r="AC99" s="77" t="e">
        <f>(#REF!+#REF!)-S99</f>
        <v>#REF!</v>
      </c>
      <c r="AD99" s="80" t="e">
        <f>AC99/(#REF!+#REF!)*100</f>
        <v>#REF!</v>
      </c>
      <c r="AG99" s="81"/>
      <c r="AH99" s="33" t="s">
        <v>34</v>
      </c>
    </row>
    <row r="100" spans="1:34" s="69" customFormat="1" x14ac:dyDescent="0.3">
      <c r="A100" s="75">
        <v>96</v>
      </c>
      <c r="B100" s="34" t="s">
        <v>26</v>
      </c>
      <c r="C100" s="34" t="s">
        <v>226</v>
      </c>
      <c r="D100" s="35" t="s">
        <v>161</v>
      </c>
      <c r="E100" s="35" t="s">
        <v>31</v>
      </c>
      <c r="F100" s="36" t="s">
        <v>30</v>
      </c>
      <c r="G100" s="37" t="s">
        <v>31</v>
      </c>
      <c r="H100" s="38">
        <f t="shared" si="4"/>
        <v>22024.799999999999</v>
      </c>
      <c r="I100" s="39"/>
      <c r="J100" s="40">
        <v>18388.599999999999</v>
      </c>
      <c r="K100" s="41">
        <f t="shared" si="7"/>
        <v>18388.599999999999</v>
      </c>
      <c r="L100" s="42">
        <v>0</v>
      </c>
      <c r="M100" s="42"/>
      <c r="N100" s="40">
        <v>3636.2</v>
      </c>
      <c r="O100" s="43">
        <f t="shared" si="5"/>
        <v>3636.2000000000003</v>
      </c>
      <c r="P100" s="40">
        <v>3336.8</v>
      </c>
      <c r="Q100" s="40">
        <v>299.39999999999998</v>
      </c>
      <c r="R100" s="40"/>
      <c r="S100" s="76">
        <f t="shared" si="6"/>
        <v>18388.599999999999</v>
      </c>
      <c r="T100" s="35" t="s">
        <v>227</v>
      </c>
      <c r="U100" s="34" t="s">
        <v>228</v>
      </c>
      <c r="V100" s="35" t="s">
        <v>161</v>
      </c>
      <c r="W100" s="35" t="s">
        <v>31</v>
      </c>
      <c r="X100" s="34" t="s">
        <v>29</v>
      </c>
      <c r="Y100" s="77" t="e">
        <f>#REF!-H100</f>
        <v>#REF!</v>
      </c>
      <c r="Z100" s="78" t="e">
        <f>#REF!-J100</f>
        <v>#REF!</v>
      </c>
      <c r="AA100" s="79" t="e">
        <f>#REF!-L100</f>
        <v>#REF!</v>
      </c>
      <c r="AB100" s="78" t="e">
        <f>#REF!-N100</f>
        <v>#REF!</v>
      </c>
      <c r="AC100" s="77" t="e">
        <f>(#REF!+#REF!)-S100</f>
        <v>#REF!</v>
      </c>
      <c r="AD100" s="80" t="e">
        <f>AC100/(#REF!+#REF!)*100</f>
        <v>#REF!</v>
      </c>
      <c r="AG100" s="81"/>
      <c r="AH100" s="33" t="s">
        <v>34</v>
      </c>
    </row>
    <row r="101" spans="1:34" s="69" customFormat="1" ht="21" x14ac:dyDescent="0.3">
      <c r="A101" s="75">
        <v>97</v>
      </c>
      <c r="B101" s="82" t="s">
        <v>26</v>
      </c>
      <c r="C101" s="82" t="s">
        <v>226</v>
      </c>
      <c r="D101" s="83" t="s">
        <v>69</v>
      </c>
      <c r="E101" s="83" t="s">
        <v>29</v>
      </c>
      <c r="F101" s="84" t="s">
        <v>30</v>
      </c>
      <c r="G101" s="85" t="s">
        <v>31</v>
      </c>
      <c r="H101" s="86">
        <f t="shared" si="4"/>
        <v>9436.4</v>
      </c>
      <c r="I101" s="87"/>
      <c r="J101" s="88">
        <v>6734.2</v>
      </c>
      <c r="K101" s="89">
        <f t="shared" si="7"/>
        <v>6734.2</v>
      </c>
      <c r="L101" s="90">
        <v>126.6</v>
      </c>
      <c r="M101" s="90"/>
      <c r="N101" s="88">
        <v>2218</v>
      </c>
      <c r="O101" s="91">
        <f t="shared" si="5"/>
        <v>2575.6</v>
      </c>
      <c r="P101" s="88">
        <v>2218</v>
      </c>
      <c r="Q101" s="88">
        <v>357.6</v>
      </c>
      <c r="R101" s="88"/>
      <c r="S101" s="92">
        <f t="shared" si="6"/>
        <v>6860.8</v>
      </c>
      <c r="T101" s="93" t="s">
        <v>57</v>
      </c>
      <c r="U101" s="82" t="s">
        <v>228</v>
      </c>
      <c r="V101" s="83" t="s">
        <v>69</v>
      </c>
      <c r="W101" s="83" t="s">
        <v>29</v>
      </c>
      <c r="X101" s="82" t="s">
        <v>29</v>
      </c>
      <c r="Y101" s="94" t="e">
        <f>#REF!-H101</f>
        <v>#REF!</v>
      </c>
      <c r="Z101" s="95" t="e">
        <f>#REF!-J101</f>
        <v>#REF!</v>
      </c>
      <c r="AA101" s="96" t="e">
        <f>#REF!-L101</f>
        <v>#REF!</v>
      </c>
      <c r="AB101" s="95" t="e">
        <f>#REF!-N101</f>
        <v>#REF!</v>
      </c>
      <c r="AC101" s="94" t="e">
        <f>(#REF!+#REF!)-S101</f>
        <v>#REF!</v>
      </c>
      <c r="AD101" s="97" t="e">
        <f>AC101/(#REF!+#REF!)*100</f>
        <v>#REF!</v>
      </c>
      <c r="AE101" s="98"/>
      <c r="AF101" s="98"/>
      <c r="AG101" s="99"/>
      <c r="AH101" s="100" t="s">
        <v>95</v>
      </c>
    </row>
    <row r="102" spans="1:34" s="69" customFormat="1" x14ac:dyDescent="0.3">
      <c r="A102" s="101">
        <v>98</v>
      </c>
      <c r="B102" s="34" t="s">
        <v>26</v>
      </c>
      <c r="C102" s="34" t="s">
        <v>229</v>
      </c>
      <c r="D102" s="35" t="s">
        <v>80</v>
      </c>
      <c r="E102" s="35" t="s">
        <v>29</v>
      </c>
      <c r="F102" s="36" t="s">
        <v>56</v>
      </c>
      <c r="G102" s="37" t="s">
        <v>31</v>
      </c>
      <c r="H102" s="38">
        <f t="shared" si="4"/>
        <v>8702.9000000000015</v>
      </c>
      <c r="I102" s="39"/>
      <c r="J102" s="40">
        <f>4805.3+442.5-2</f>
        <v>5245.8</v>
      </c>
      <c r="K102" s="41">
        <f t="shared" si="7"/>
        <v>5245.8</v>
      </c>
      <c r="L102" s="42">
        <f>1097.9-1.6-440.5</f>
        <v>655.80000000000018</v>
      </c>
      <c r="M102" s="42"/>
      <c r="N102" s="42">
        <v>2801.3</v>
      </c>
      <c r="O102" s="43">
        <f t="shared" si="5"/>
        <v>2801.3</v>
      </c>
      <c r="P102" s="42">
        <v>1882</v>
      </c>
      <c r="Q102" s="42">
        <v>919.3</v>
      </c>
      <c r="R102" s="42"/>
      <c r="S102" s="76">
        <f t="shared" si="6"/>
        <v>5901.6</v>
      </c>
      <c r="T102" s="35" t="s">
        <v>230</v>
      </c>
      <c r="U102" s="34" t="s">
        <v>231</v>
      </c>
      <c r="V102" s="35" t="s">
        <v>80</v>
      </c>
      <c r="W102" s="35" t="s">
        <v>29</v>
      </c>
      <c r="X102" s="34" t="s">
        <v>29</v>
      </c>
      <c r="Y102" s="77" t="e">
        <f>#REF!-H102</f>
        <v>#REF!</v>
      </c>
      <c r="Z102" s="78" t="e">
        <f>#REF!-J102</f>
        <v>#REF!</v>
      </c>
      <c r="AA102" s="79" t="e">
        <f>#REF!-L102</f>
        <v>#REF!</v>
      </c>
      <c r="AB102" s="78" t="e">
        <f>#REF!-N102</f>
        <v>#REF!</v>
      </c>
      <c r="AC102" s="77" t="e">
        <f>(#REF!+#REF!)-S102</f>
        <v>#REF!</v>
      </c>
      <c r="AD102" s="80" t="e">
        <f>AC102/(#REF!+#REF!)*100</f>
        <v>#REF!</v>
      </c>
      <c r="AG102" s="81"/>
      <c r="AH102" s="33" t="s">
        <v>34</v>
      </c>
    </row>
    <row r="103" spans="1:34" s="69" customFormat="1" x14ac:dyDescent="0.3">
      <c r="A103" s="75">
        <v>99</v>
      </c>
      <c r="B103" s="34" t="s">
        <v>26</v>
      </c>
      <c r="C103" s="34" t="s">
        <v>229</v>
      </c>
      <c r="D103" s="35" t="s">
        <v>105</v>
      </c>
      <c r="E103" s="35" t="s">
        <v>29</v>
      </c>
      <c r="F103" s="36" t="s">
        <v>30</v>
      </c>
      <c r="G103" s="37" t="s">
        <v>31</v>
      </c>
      <c r="H103" s="38">
        <f t="shared" si="4"/>
        <v>46914.06</v>
      </c>
      <c r="I103" s="39"/>
      <c r="J103" s="40">
        <f>35897.5+0.6</f>
        <v>35898.1</v>
      </c>
      <c r="K103" s="41">
        <f t="shared" si="7"/>
        <v>35898.1</v>
      </c>
      <c r="L103" s="42">
        <f>1111.56-9.36-34.4-30.8</f>
        <v>1037</v>
      </c>
      <c r="M103" s="42">
        <v>141</v>
      </c>
      <c r="N103" s="42">
        <v>10434.9</v>
      </c>
      <c r="O103" s="43">
        <f t="shared" si="5"/>
        <v>9978.9599999999991</v>
      </c>
      <c r="P103" s="42">
        <v>3336</v>
      </c>
      <c r="Q103" s="42"/>
      <c r="R103" s="106">
        <f>7055.14-412.18</f>
        <v>6642.96</v>
      </c>
      <c r="S103" s="76">
        <f t="shared" si="6"/>
        <v>36935.1</v>
      </c>
      <c r="T103" s="35" t="s">
        <v>232</v>
      </c>
      <c r="U103" s="34" t="s">
        <v>231</v>
      </c>
      <c r="V103" s="35" t="s">
        <v>105</v>
      </c>
      <c r="W103" s="35" t="s">
        <v>29</v>
      </c>
      <c r="X103" s="34" t="s">
        <v>29</v>
      </c>
      <c r="Y103" s="77" t="e">
        <f>#REF!-H103</f>
        <v>#REF!</v>
      </c>
      <c r="Z103" s="78" t="e">
        <f>#REF!-J103</f>
        <v>#REF!</v>
      </c>
      <c r="AA103" s="79" t="e">
        <f>#REF!-L103</f>
        <v>#REF!</v>
      </c>
      <c r="AB103" s="78" t="e">
        <f>#REF!-N103</f>
        <v>#REF!</v>
      </c>
      <c r="AC103" s="77" t="e">
        <f>(#REF!+#REF!)-S103</f>
        <v>#REF!</v>
      </c>
      <c r="AD103" s="80" t="e">
        <f>AC103/(#REF!+#REF!)*100</f>
        <v>#REF!</v>
      </c>
      <c r="AG103" s="81"/>
      <c r="AH103" s="33" t="s">
        <v>34</v>
      </c>
    </row>
    <row r="104" spans="1:34" s="69" customFormat="1" x14ac:dyDescent="0.3">
      <c r="A104" s="75">
        <v>100</v>
      </c>
      <c r="B104" s="34" t="s">
        <v>26</v>
      </c>
      <c r="C104" s="34" t="s">
        <v>229</v>
      </c>
      <c r="D104" s="35" t="s">
        <v>105</v>
      </c>
      <c r="E104" s="35" t="s">
        <v>29</v>
      </c>
      <c r="F104" s="36" t="s">
        <v>155</v>
      </c>
      <c r="G104" s="37" t="s">
        <v>31</v>
      </c>
      <c r="H104" s="38">
        <f t="shared" si="4"/>
        <v>9444.7999999999993</v>
      </c>
      <c r="I104" s="39"/>
      <c r="J104" s="40">
        <v>6487.9</v>
      </c>
      <c r="K104" s="41">
        <f t="shared" si="7"/>
        <v>6487.9</v>
      </c>
      <c r="L104" s="42">
        <v>1086.7</v>
      </c>
      <c r="M104" s="42"/>
      <c r="N104" s="42">
        <v>1952.3</v>
      </c>
      <c r="O104" s="43">
        <f t="shared" si="5"/>
        <v>1870.2</v>
      </c>
      <c r="P104" s="42">
        <v>1491</v>
      </c>
      <c r="Q104" s="42">
        <v>379.2</v>
      </c>
      <c r="R104" s="42"/>
      <c r="S104" s="76">
        <f t="shared" si="6"/>
        <v>7574.5999999999995</v>
      </c>
      <c r="T104" s="35" t="s">
        <v>233</v>
      </c>
      <c r="U104" s="34" t="s">
        <v>231</v>
      </c>
      <c r="V104" s="35" t="s">
        <v>105</v>
      </c>
      <c r="W104" s="35" t="s">
        <v>29</v>
      </c>
      <c r="X104" s="34" t="s">
        <v>29</v>
      </c>
      <c r="Y104" s="77" t="e">
        <f>#REF!-H104</f>
        <v>#REF!</v>
      </c>
      <c r="Z104" s="78" t="e">
        <f>#REF!-J104</f>
        <v>#REF!</v>
      </c>
      <c r="AA104" s="79" t="e">
        <f>#REF!-L104</f>
        <v>#REF!</v>
      </c>
      <c r="AB104" s="78" t="e">
        <f>#REF!-N104</f>
        <v>#REF!</v>
      </c>
      <c r="AC104" s="77" t="e">
        <f>(#REF!+#REF!)-S104</f>
        <v>#REF!</v>
      </c>
      <c r="AD104" s="80" t="e">
        <f>AC104/(#REF!+#REF!)*100</f>
        <v>#REF!</v>
      </c>
      <c r="AG104" s="81"/>
      <c r="AH104" s="33" t="s">
        <v>34</v>
      </c>
    </row>
    <row r="105" spans="1:34" s="69" customFormat="1" x14ac:dyDescent="0.3">
      <c r="A105" s="75">
        <v>101</v>
      </c>
      <c r="B105" s="34" t="s">
        <v>26</v>
      </c>
      <c r="C105" s="34" t="s">
        <v>229</v>
      </c>
      <c r="D105" s="35" t="s">
        <v>105</v>
      </c>
      <c r="E105" s="35" t="s">
        <v>29</v>
      </c>
      <c r="F105" s="36" t="s">
        <v>103</v>
      </c>
      <c r="G105" s="37" t="s">
        <v>31</v>
      </c>
      <c r="H105" s="38">
        <f t="shared" si="4"/>
        <v>10038.9</v>
      </c>
      <c r="I105" s="39"/>
      <c r="J105" s="40">
        <v>6976.7</v>
      </c>
      <c r="K105" s="41">
        <f t="shared" si="7"/>
        <v>6976.7</v>
      </c>
      <c r="L105" s="42">
        <v>783</v>
      </c>
      <c r="M105" s="42">
        <v>105.4</v>
      </c>
      <c r="N105" s="42">
        <v>1795.4</v>
      </c>
      <c r="O105" s="43">
        <f t="shared" si="5"/>
        <v>2279.1999999999998</v>
      </c>
      <c r="P105" s="42">
        <v>1312.7</v>
      </c>
      <c r="Q105" s="42">
        <v>201.1</v>
      </c>
      <c r="R105" s="42">
        <v>765.4</v>
      </c>
      <c r="S105" s="76">
        <f t="shared" si="6"/>
        <v>7759.7</v>
      </c>
      <c r="T105" s="35" t="s">
        <v>234</v>
      </c>
      <c r="U105" s="34" t="s">
        <v>231</v>
      </c>
      <c r="V105" s="35" t="s">
        <v>105</v>
      </c>
      <c r="W105" s="35" t="s">
        <v>29</v>
      </c>
      <c r="X105" s="34" t="s">
        <v>29</v>
      </c>
      <c r="Y105" s="77" t="e">
        <f>#REF!-H105</f>
        <v>#REF!</v>
      </c>
      <c r="Z105" s="78" t="e">
        <f>#REF!-J105</f>
        <v>#REF!</v>
      </c>
      <c r="AA105" s="79" t="e">
        <f>#REF!-L105</f>
        <v>#REF!</v>
      </c>
      <c r="AB105" s="78" t="e">
        <f>#REF!-N105</f>
        <v>#REF!</v>
      </c>
      <c r="AC105" s="77" t="e">
        <f>(#REF!+#REF!)-S105</f>
        <v>#REF!</v>
      </c>
      <c r="AD105" s="80" t="e">
        <f>AC105/(#REF!+#REF!)*100</f>
        <v>#REF!</v>
      </c>
      <c r="AG105" s="81"/>
      <c r="AH105" s="33" t="s">
        <v>34</v>
      </c>
    </row>
    <row r="106" spans="1:34" s="69" customFormat="1" x14ac:dyDescent="0.3">
      <c r="A106" s="101">
        <v>102</v>
      </c>
      <c r="B106" s="34" t="s">
        <v>26</v>
      </c>
      <c r="C106" s="34" t="s">
        <v>229</v>
      </c>
      <c r="D106" s="35" t="s">
        <v>109</v>
      </c>
      <c r="E106" s="35" t="s">
        <v>29</v>
      </c>
      <c r="F106" s="36" t="s">
        <v>43</v>
      </c>
      <c r="G106" s="37" t="s">
        <v>31</v>
      </c>
      <c r="H106" s="38">
        <f t="shared" si="4"/>
        <v>9534.2000000000007</v>
      </c>
      <c r="I106" s="39"/>
      <c r="J106" s="40">
        <v>6997.6</v>
      </c>
      <c r="K106" s="41">
        <f t="shared" si="7"/>
        <v>6997.6</v>
      </c>
      <c r="L106" s="42">
        <f>64.7+40.5</f>
        <v>105.2</v>
      </c>
      <c r="M106" s="42"/>
      <c r="N106" s="40">
        <f>2471.9-34.6</f>
        <v>2437.3000000000002</v>
      </c>
      <c r="O106" s="43">
        <f t="shared" si="5"/>
        <v>2431.4</v>
      </c>
      <c r="P106" s="40">
        <v>1841</v>
      </c>
      <c r="Q106" s="40">
        <v>590.4</v>
      </c>
      <c r="R106" s="40"/>
      <c r="S106" s="76">
        <f t="shared" si="6"/>
        <v>7102.8</v>
      </c>
      <c r="T106" s="35" t="s">
        <v>235</v>
      </c>
      <c r="U106" s="34" t="s">
        <v>231</v>
      </c>
      <c r="V106" s="35" t="s">
        <v>109</v>
      </c>
      <c r="W106" s="35" t="s">
        <v>29</v>
      </c>
      <c r="X106" s="34" t="s">
        <v>29</v>
      </c>
      <c r="Y106" s="77" t="e">
        <f>#REF!-H106</f>
        <v>#REF!</v>
      </c>
      <c r="Z106" s="78" t="e">
        <f>#REF!-J106</f>
        <v>#REF!</v>
      </c>
      <c r="AA106" s="79" t="e">
        <f>#REF!-L106</f>
        <v>#REF!</v>
      </c>
      <c r="AB106" s="78" t="e">
        <f>#REF!-N106</f>
        <v>#REF!</v>
      </c>
      <c r="AC106" s="77" t="e">
        <f>(#REF!+#REF!)-S106</f>
        <v>#REF!</v>
      </c>
      <c r="AD106" s="80" t="e">
        <f>AC106/(#REF!+#REF!)*100</f>
        <v>#REF!</v>
      </c>
      <c r="AG106" s="81"/>
      <c r="AH106" s="33" t="s">
        <v>34</v>
      </c>
    </row>
    <row r="107" spans="1:34" s="69" customFormat="1" x14ac:dyDescent="0.3">
      <c r="A107" s="75">
        <v>103</v>
      </c>
      <c r="B107" s="34" t="s">
        <v>26</v>
      </c>
      <c r="C107" s="34" t="s">
        <v>229</v>
      </c>
      <c r="D107" s="35" t="s">
        <v>109</v>
      </c>
      <c r="E107" s="35" t="s">
        <v>29</v>
      </c>
      <c r="F107" s="36" t="s">
        <v>155</v>
      </c>
      <c r="G107" s="37" t="s">
        <v>31</v>
      </c>
      <c r="H107" s="38">
        <f t="shared" si="4"/>
        <v>10041.299999999999</v>
      </c>
      <c r="I107" s="39"/>
      <c r="J107" s="40">
        <f>6985</f>
        <v>6985</v>
      </c>
      <c r="K107" s="41">
        <f t="shared" si="7"/>
        <v>6985</v>
      </c>
      <c r="L107" s="42">
        <v>622.5</v>
      </c>
      <c r="M107" s="42"/>
      <c r="N107" s="40">
        <f>1831.8+1715</f>
        <v>3546.8</v>
      </c>
      <c r="O107" s="43">
        <f t="shared" si="5"/>
        <v>2433.8000000000002</v>
      </c>
      <c r="P107" s="40">
        <v>1715</v>
      </c>
      <c r="Q107" s="40">
        <v>718.8</v>
      </c>
      <c r="R107" s="40"/>
      <c r="S107" s="76">
        <f t="shared" si="6"/>
        <v>7607.5</v>
      </c>
      <c r="T107" s="35" t="s">
        <v>236</v>
      </c>
      <c r="U107" s="34" t="s">
        <v>231</v>
      </c>
      <c r="V107" s="35" t="s">
        <v>109</v>
      </c>
      <c r="W107" s="35" t="s">
        <v>29</v>
      </c>
      <c r="X107" s="34" t="s">
        <v>29</v>
      </c>
      <c r="Y107" s="77" t="e">
        <f>#REF!-H107</f>
        <v>#REF!</v>
      </c>
      <c r="Z107" s="78" t="e">
        <f>#REF!-J107</f>
        <v>#REF!</v>
      </c>
      <c r="AA107" s="79" t="e">
        <f>#REF!-L107</f>
        <v>#REF!</v>
      </c>
      <c r="AB107" s="78" t="e">
        <f>#REF!-N107</f>
        <v>#REF!</v>
      </c>
      <c r="AC107" s="77" t="e">
        <f>(#REF!+#REF!)-S107</f>
        <v>#REF!</v>
      </c>
      <c r="AD107" s="80" t="e">
        <f>AC107/(#REF!+#REF!)*100</f>
        <v>#REF!</v>
      </c>
      <c r="AG107" s="81"/>
      <c r="AH107" s="33" t="s">
        <v>34</v>
      </c>
    </row>
    <row r="108" spans="1:34" s="69" customFormat="1" x14ac:dyDescent="0.3">
      <c r="A108" s="75">
        <v>104</v>
      </c>
      <c r="B108" s="34" t="s">
        <v>26</v>
      </c>
      <c r="C108" s="34" t="s">
        <v>229</v>
      </c>
      <c r="D108" s="35" t="s">
        <v>109</v>
      </c>
      <c r="E108" s="35" t="s">
        <v>29</v>
      </c>
      <c r="F108" s="36" t="s">
        <v>103</v>
      </c>
      <c r="G108" s="37" t="s">
        <v>31</v>
      </c>
      <c r="H108" s="38">
        <f t="shared" si="4"/>
        <v>10232</v>
      </c>
      <c r="I108" s="39"/>
      <c r="J108" s="40">
        <v>7079</v>
      </c>
      <c r="K108" s="41">
        <f t="shared" si="7"/>
        <v>7079</v>
      </c>
      <c r="L108" s="42">
        <v>622.9</v>
      </c>
      <c r="M108" s="42"/>
      <c r="N108" s="40">
        <f>1787.1+1715</f>
        <v>3502.1</v>
      </c>
      <c r="O108" s="43">
        <f t="shared" si="5"/>
        <v>2530.1</v>
      </c>
      <c r="P108" s="40">
        <v>1715</v>
      </c>
      <c r="Q108" s="40">
        <v>815.1</v>
      </c>
      <c r="R108" s="40"/>
      <c r="S108" s="76">
        <f t="shared" si="6"/>
        <v>7701.9</v>
      </c>
      <c r="T108" s="35" t="s">
        <v>237</v>
      </c>
      <c r="U108" s="34" t="s">
        <v>231</v>
      </c>
      <c r="V108" s="35" t="s">
        <v>109</v>
      </c>
      <c r="W108" s="35" t="s">
        <v>29</v>
      </c>
      <c r="X108" s="34" t="s">
        <v>29</v>
      </c>
      <c r="Y108" s="77" t="e">
        <f>#REF!-H108</f>
        <v>#REF!</v>
      </c>
      <c r="Z108" s="78" t="e">
        <f>#REF!-J108</f>
        <v>#REF!</v>
      </c>
      <c r="AA108" s="79" t="e">
        <f>#REF!-L108</f>
        <v>#REF!</v>
      </c>
      <c r="AB108" s="78" t="e">
        <f>#REF!-N108</f>
        <v>#REF!</v>
      </c>
      <c r="AC108" s="77" t="e">
        <f>(#REF!+#REF!)-S108</f>
        <v>#REF!</v>
      </c>
      <c r="AD108" s="80" t="e">
        <f>AC108/(#REF!+#REF!)*100</f>
        <v>#REF!</v>
      </c>
      <c r="AG108" s="81"/>
      <c r="AH108" s="33" t="s">
        <v>34</v>
      </c>
    </row>
    <row r="109" spans="1:34" s="69" customFormat="1" x14ac:dyDescent="0.3">
      <c r="A109" s="101">
        <v>105</v>
      </c>
      <c r="B109" s="34" t="s">
        <v>26</v>
      </c>
      <c r="C109" s="34" t="s">
        <v>229</v>
      </c>
      <c r="D109" s="35" t="s">
        <v>109</v>
      </c>
      <c r="E109" s="35" t="s">
        <v>29</v>
      </c>
      <c r="F109" s="36" t="s">
        <v>238</v>
      </c>
      <c r="G109" s="37" t="s">
        <v>31</v>
      </c>
      <c r="H109" s="38">
        <f t="shared" si="4"/>
        <v>6074</v>
      </c>
      <c r="I109" s="39">
        <v>0</v>
      </c>
      <c r="J109" s="40">
        <f>4795.3</f>
        <v>4795.3</v>
      </c>
      <c r="K109" s="41">
        <f t="shared" si="7"/>
        <v>4795.3</v>
      </c>
      <c r="L109" s="42">
        <v>134.69999999999999</v>
      </c>
      <c r="M109" s="42"/>
      <c r="N109" s="40">
        <v>1144</v>
      </c>
      <c r="O109" s="43">
        <f t="shared" si="5"/>
        <v>1144</v>
      </c>
      <c r="P109" s="40">
        <v>964</v>
      </c>
      <c r="Q109" s="40">
        <v>180</v>
      </c>
      <c r="R109" s="40"/>
      <c r="S109" s="76">
        <f t="shared" si="6"/>
        <v>4930</v>
      </c>
      <c r="T109" s="35" t="s">
        <v>239</v>
      </c>
      <c r="U109" s="34" t="s">
        <v>231</v>
      </c>
      <c r="V109" s="35" t="s">
        <v>109</v>
      </c>
      <c r="W109" s="35" t="s">
        <v>29</v>
      </c>
      <c r="X109" s="34" t="s">
        <v>29</v>
      </c>
      <c r="Y109" s="77" t="e">
        <f>#REF!-H109</f>
        <v>#REF!</v>
      </c>
      <c r="Z109" s="78" t="e">
        <f>#REF!-J109</f>
        <v>#REF!</v>
      </c>
      <c r="AA109" s="79" t="e">
        <f>#REF!-L109</f>
        <v>#REF!</v>
      </c>
      <c r="AB109" s="78" t="e">
        <f>#REF!-N109</f>
        <v>#REF!</v>
      </c>
      <c r="AC109" s="77" t="e">
        <f>(#REF!+#REF!)-S109</f>
        <v>#REF!</v>
      </c>
      <c r="AD109" s="80" t="e">
        <f>AC109/(#REF!+#REF!)*100</f>
        <v>#REF!</v>
      </c>
      <c r="AG109" s="81"/>
      <c r="AH109" s="33" t="s">
        <v>34</v>
      </c>
    </row>
    <row r="110" spans="1:34" s="69" customFormat="1" x14ac:dyDescent="0.3">
      <c r="A110" s="75">
        <v>106</v>
      </c>
      <c r="B110" s="34" t="s">
        <v>26</v>
      </c>
      <c r="C110" s="34" t="s">
        <v>229</v>
      </c>
      <c r="D110" s="35" t="s">
        <v>109</v>
      </c>
      <c r="E110" s="35" t="s">
        <v>161</v>
      </c>
      <c r="F110" s="36" t="s">
        <v>30</v>
      </c>
      <c r="G110" s="37" t="s">
        <v>31</v>
      </c>
      <c r="H110" s="38">
        <f t="shared" si="4"/>
        <v>8811.4700000000012</v>
      </c>
      <c r="I110" s="39">
        <v>34.380000000000003</v>
      </c>
      <c r="J110" s="40">
        <v>6394.39</v>
      </c>
      <c r="K110" s="41">
        <f t="shared" si="7"/>
        <v>6428.77</v>
      </c>
      <c r="L110" s="42">
        <v>314.39999999999998</v>
      </c>
      <c r="M110" s="42"/>
      <c r="N110" s="40">
        <v>1480.5</v>
      </c>
      <c r="O110" s="43">
        <f t="shared" si="5"/>
        <v>2068.3000000000002</v>
      </c>
      <c r="P110" s="40">
        <v>1343.5</v>
      </c>
      <c r="Q110" s="40">
        <v>137</v>
      </c>
      <c r="R110" s="40">
        <v>587.79999999999995</v>
      </c>
      <c r="S110" s="76">
        <f t="shared" si="6"/>
        <v>6743.17</v>
      </c>
      <c r="T110" s="35" t="s">
        <v>240</v>
      </c>
      <c r="U110" s="34" t="s">
        <v>231</v>
      </c>
      <c r="V110" s="35" t="s">
        <v>109</v>
      </c>
      <c r="W110" s="35" t="s">
        <v>161</v>
      </c>
      <c r="X110" s="34" t="s">
        <v>29</v>
      </c>
      <c r="Y110" s="77" t="e">
        <f>#REF!-H110</f>
        <v>#REF!</v>
      </c>
      <c r="Z110" s="78" t="e">
        <f>#REF!-J110</f>
        <v>#REF!</v>
      </c>
      <c r="AA110" s="79" t="e">
        <f>#REF!-L110</f>
        <v>#REF!</v>
      </c>
      <c r="AB110" s="78" t="e">
        <f>#REF!-N110</f>
        <v>#REF!</v>
      </c>
      <c r="AC110" s="77" t="e">
        <f>(#REF!+#REF!)-S110</f>
        <v>#REF!</v>
      </c>
      <c r="AD110" s="80" t="e">
        <f>AC110/(#REF!+#REF!)*100</f>
        <v>#REF!</v>
      </c>
      <c r="AG110" s="81"/>
      <c r="AH110" s="33" t="s">
        <v>34</v>
      </c>
    </row>
    <row r="111" spans="1:34" s="69" customFormat="1" x14ac:dyDescent="0.3">
      <c r="A111" s="75">
        <v>107</v>
      </c>
      <c r="B111" s="34" t="s">
        <v>26</v>
      </c>
      <c r="C111" s="34" t="s">
        <v>229</v>
      </c>
      <c r="D111" s="35" t="s">
        <v>109</v>
      </c>
      <c r="E111" s="35" t="s">
        <v>241</v>
      </c>
      <c r="F111" s="36" t="s">
        <v>30</v>
      </c>
      <c r="G111" s="37" t="s">
        <v>31</v>
      </c>
      <c r="H111" s="38">
        <f t="shared" si="4"/>
        <v>11393.6</v>
      </c>
      <c r="I111" s="39"/>
      <c r="J111" s="40">
        <v>8126.1</v>
      </c>
      <c r="K111" s="41">
        <f t="shared" si="7"/>
        <v>8126.1</v>
      </c>
      <c r="L111" s="42">
        <v>876</v>
      </c>
      <c r="M111" s="42"/>
      <c r="N111" s="40">
        <v>1834</v>
      </c>
      <c r="O111" s="43">
        <f t="shared" si="5"/>
        <v>2391.5</v>
      </c>
      <c r="P111" s="40">
        <v>1834</v>
      </c>
      <c r="Q111" s="40">
        <v>557.5</v>
      </c>
      <c r="R111" s="40"/>
      <c r="S111" s="76">
        <f t="shared" si="6"/>
        <v>9002.1</v>
      </c>
      <c r="T111" s="35" t="s">
        <v>242</v>
      </c>
      <c r="U111" s="34" t="s">
        <v>231</v>
      </c>
      <c r="V111" s="35" t="s">
        <v>109</v>
      </c>
      <c r="W111" s="35" t="s">
        <v>241</v>
      </c>
      <c r="X111" s="34" t="s">
        <v>29</v>
      </c>
      <c r="Y111" s="77" t="e">
        <f>#REF!-H111</f>
        <v>#REF!</v>
      </c>
      <c r="Z111" s="78" t="e">
        <f>#REF!-J111</f>
        <v>#REF!</v>
      </c>
      <c r="AA111" s="79" t="e">
        <f>#REF!-L111</f>
        <v>#REF!</v>
      </c>
      <c r="AB111" s="78" t="e">
        <f>#REF!-N111</f>
        <v>#REF!</v>
      </c>
      <c r="AC111" s="77" t="e">
        <f>(#REF!+#REF!)-S111</f>
        <v>#REF!</v>
      </c>
      <c r="AD111" s="80" t="e">
        <f>AC111/(#REF!+#REF!)*100</f>
        <v>#REF!</v>
      </c>
      <c r="AG111" s="81"/>
      <c r="AH111" s="33" t="s">
        <v>34</v>
      </c>
    </row>
    <row r="112" spans="1:34" s="69" customFormat="1" x14ac:dyDescent="0.3">
      <c r="A112" s="101">
        <v>108</v>
      </c>
      <c r="B112" s="34" t="s">
        <v>26</v>
      </c>
      <c r="C112" s="34" t="s">
        <v>229</v>
      </c>
      <c r="D112" s="35" t="s">
        <v>198</v>
      </c>
      <c r="E112" s="35" t="s">
        <v>29</v>
      </c>
      <c r="F112" s="36" t="s">
        <v>30</v>
      </c>
      <c r="G112" s="37" t="s">
        <v>31</v>
      </c>
      <c r="H112" s="38">
        <f t="shared" si="4"/>
        <v>10178.9</v>
      </c>
      <c r="I112" s="39"/>
      <c r="J112" s="40">
        <v>5976.7</v>
      </c>
      <c r="K112" s="41">
        <f t="shared" si="7"/>
        <v>5976.7</v>
      </c>
      <c r="L112" s="42">
        <f>1379.6-1+0.2</f>
        <v>1378.8</v>
      </c>
      <c r="M112" s="42"/>
      <c r="N112" s="40">
        <v>2590.6</v>
      </c>
      <c r="O112" s="43">
        <f t="shared" si="5"/>
        <v>2823.4</v>
      </c>
      <c r="P112" s="40">
        <v>2494</v>
      </c>
      <c r="Q112" s="40">
        <v>329.4</v>
      </c>
      <c r="R112" s="40"/>
      <c r="S112" s="76">
        <f t="shared" si="6"/>
        <v>7355.5</v>
      </c>
      <c r="T112" s="35" t="s">
        <v>243</v>
      </c>
      <c r="U112" s="34" t="s">
        <v>231</v>
      </c>
      <c r="V112" s="35" t="s">
        <v>198</v>
      </c>
      <c r="W112" s="35" t="s">
        <v>29</v>
      </c>
      <c r="X112" s="34" t="s">
        <v>29</v>
      </c>
      <c r="Y112" s="77" t="e">
        <f>#REF!-H112</f>
        <v>#REF!</v>
      </c>
      <c r="Z112" s="78" t="e">
        <f>#REF!-J112</f>
        <v>#REF!</v>
      </c>
      <c r="AA112" s="79" t="e">
        <f>#REF!-L112</f>
        <v>#REF!</v>
      </c>
      <c r="AB112" s="78" t="e">
        <f>#REF!-N112</f>
        <v>#REF!</v>
      </c>
      <c r="AC112" s="77" t="e">
        <f>(#REF!+#REF!)-S112</f>
        <v>#REF!</v>
      </c>
      <c r="AD112" s="80" t="e">
        <f>AC112/(#REF!+#REF!)*100</f>
        <v>#REF!</v>
      </c>
      <c r="AG112" s="81"/>
      <c r="AH112" s="33" t="s">
        <v>34</v>
      </c>
    </row>
    <row r="113" spans="1:34" s="69" customFormat="1" x14ac:dyDescent="0.3">
      <c r="A113" s="75">
        <v>109</v>
      </c>
      <c r="B113" s="34" t="s">
        <v>26</v>
      </c>
      <c r="C113" s="34" t="s">
        <v>244</v>
      </c>
      <c r="D113" s="35" t="s">
        <v>72</v>
      </c>
      <c r="E113" s="35" t="s">
        <v>29</v>
      </c>
      <c r="F113" s="36" t="s">
        <v>30</v>
      </c>
      <c r="G113" s="37"/>
      <c r="H113" s="38">
        <f t="shared" si="4"/>
        <v>3937.12</v>
      </c>
      <c r="I113" s="39"/>
      <c r="J113" s="40">
        <v>2710.86</v>
      </c>
      <c r="K113" s="41">
        <f t="shared" si="7"/>
        <v>2710.86</v>
      </c>
      <c r="L113" s="42">
        <v>458.56</v>
      </c>
      <c r="M113" s="42"/>
      <c r="N113" s="40">
        <v>660.9</v>
      </c>
      <c r="O113" s="43">
        <f t="shared" si="5"/>
        <v>767.7</v>
      </c>
      <c r="P113" s="40">
        <v>621</v>
      </c>
      <c r="Q113" s="40"/>
      <c r="R113" s="40">
        <v>146.69999999999999</v>
      </c>
      <c r="S113" s="76">
        <f t="shared" si="6"/>
        <v>3169.42</v>
      </c>
      <c r="T113" s="35" t="s">
        <v>245</v>
      </c>
      <c r="U113" s="34" t="s">
        <v>246</v>
      </c>
      <c r="V113" s="35" t="s">
        <v>72</v>
      </c>
      <c r="W113" s="35" t="s">
        <v>29</v>
      </c>
      <c r="X113" s="34" t="s">
        <v>29</v>
      </c>
      <c r="Y113" s="77" t="e">
        <f>#REF!-H113</f>
        <v>#REF!</v>
      </c>
      <c r="Z113" s="78" t="e">
        <f>#REF!-J113</f>
        <v>#REF!</v>
      </c>
      <c r="AA113" s="79" t="e">
        <f>#REF!-L113</f>
        <v>#REF!</v>
      </c>
      <c r="AB113" s="78" t="e">
        <f>#REF!-N113</f>
        <v>#REF!</v>
      </c>
      <c r="AC113" s="77" t="e">
        <f>(#REF!+#REF!)-S113</f>
        <v>#REF!</v>
      </c>
      <c r="AD113" s="80" t="e">
        <f>AC113/(#REF!+#REF!)*100</f>
        <v>#REF!</v>
      </c>
      <c r="AG113" s="81"/>
      <c r="AH113" s="33" t="s">
        <v>34</v>
      </c>
    </row>
    <row r="114" spans="1:34" s="69" customFormat="1" x14ac:dyDescent="0.3">
      <c r="A114" s="75">
        <v>110</v>
      </c>
      <c r="B114" s="34" t="s">
        <v>26</v>
      </c>
      <c r="C114" s="34" t="s">
        <v>244</v>
      </c>
      <c r="D114" s="35" t="s">
        <v>94</v>
      </c>
      <c r="E114" s="35" t="s">
        <v>29</v>
      </c>
      <c r="F114" s="36" t="s">
        <v>30</v>
      </c>
      <c r="G114" s="37"/>
      <c r="H114" s="105">
        <f t="shared" si="4"/>
        <v>4053.3999999999996</v>
      </c>
      <c r="I114" s="39"/>
      <c r="J114" s="40">
        <f>3347.4</f>
        <v>3347.4</v>
      </c>
      <c r="K114" s="41">
        <f t="shared" si="7"/>
        <v>3347.4</v>
      </c>
      <c r="L114" s="106">
        <f>83+84.2</f>
        <v>167.2</v>
      </c>
      <c r="M114" s="106">
        <v>84.2</v>
      </c>
      <c r="N114" s="40">
        <v>704.4</v>
      </c>
      <c r="O114" s="43">
        <f t="shared" si="5"/>
        <v>538.79999999999995</v>
      </c>
      <c r="P114" s="40">
        <v>500</v>
      </c>
      <c r="Q114" s="40">
        <v>38.799999999999997</v>
      </c>
      <c r="R114" s="40"/>
      <c r="S114" s="76">
        <f t="shared" si="6"/>
        <v>3514.6</v>
      </c>
      <c r="T114" s="35" t="s">
        <v>247</v>
      </c>
      <c r="U114" s="34" t="s">
        <v>246</v>
      </c>
      <c r="V114" s="35" t="s">
        <v>94</v>
      </c>
      <c r="W114" s="35" t="s">
        <v>29</v>
      </c>
      <c r="X114" s="34" t="s">
        <v>29</v>
      </c>
      <c r="Y114" s="77" t="e">
        <f>#REF!-H114</f>
        <v>#REF!</v>
      </c>
      <c r="Z114" s="78" t="e">
        <f>#REF!-J114</f>
        <v>#REF!</v>
      </c>
      <c r="AA114" s="79" t="e">
        <f>#REF!-L114</f>
        <v>#REF!</v>
      </c>
      <c r="AB114" s="78" t="e">
        <f>#REF!-N114</f>
        <v>#REF!</v>
      </c>
      <c r="AC114" s="77" t="e">
        <f>(#REF!+#REF!)-S114</f>
        <v>#REF!</v>
      </c>
      <c r="AD114" s="80" t="e">
        <f>AC114/(#REF!+#REF!)*100</f>
        <v>#REF!</v>
      </c>
      <c r="AG114" s="81" t="s">
        <v>248</v>
      </c>
      <c r="AH114" s="33" t="s">
        <v>34</v>
      </c>
    </row>
    <row r="115" spans="1:34" s="69" customFormat="1" ht="21" x14ac:dyDescent="0.3">
      <c r="A115" s="75">
        <v>111</v>
      </c>
      <c r="B115" s="82" t="s">
        <v>26</v>
      </c>
      <c r="C115" s="82" t="s">
        <v>244</v>
      </c>
      <c r="D115" s="83" t="s">
        <v>80</v>
      </c>
      <c r="E115" s="83" t="s">
        <v>29</v>
      </c>
      <c r="F115" s="84" t="s">
        <v>30</v>
      </c>
      <c r="G115" s="85"/>
      <c r="H115" s="86">
        <f t="shared" si="4"/>
        <v>1400.6999999999998</v>
      </c>
      <c r="I115" s="87"/>
      <c r="J115" s="88">
        <v>1101.0999999999999</v>
      </c>
      <c r="K115" s="89">
        <f t="shared" si="7"/>
        <v>1101.0999999999999</v>
      </c>
      <c r="L115" s="90">
        <v>108.8</v>
      </c>
      <c r="M115" s="90"/>
      <c r="N115" s="88">
        <v>258.7</v>
      </c>
      <c r="O115" s="91">
        <f t="shared" si="5"/>
        <v>190.79999999999998</v>
      </c>
      <c r="P115" s="88">
        <v>182.1</v>
      </c>
      <c r="Q115" s="88">
        <v>8.6999999999999993</v>
      </c>
      <c r="R115" s="88"/>
      <c r="S115" s="92">
        <f t="shared" si="6"/>
        <v>1209.8999999999999</v>
      </c>
      <c r="T115" s="93" t="s">
        <v>57</v>
      </c>
      <c r="U115" s="82" t="s">
        <v>246</v>
      </c>
      <c r="V115" s="83" t="s">
        <v>80</v>
      </c>
      <c r="W115" s="83" t="s">
        <v>29</v>
      </c>
      <c r="X115" s="82" t="s">
        <v>29</v>
      </c>
      <c r="Y115" s="94" t="e">
        <f>#REF!-H115</f>
        <v>#REF!</v>
      </c>
      <c r="Z115" s="95" t="e">
        <f>#REF!-J115</f>
        <v>#REF!</v>
      </c>
      <c r="AA115" s="96" t="e">
        <f>#REF!-L115</f>
        <v>#REF!</v>
      </c>
      <c r="AB115" s="95" t="e">
        <f>#REF!-N115</f>
        <v>#REF!</v>
      </c>
      <c r="AC115" s="94" t="e">
        <f>(#REF!+#REF!)-S115</f>
        <v>#REF!</v>
      </c>
      <c r="AD115" s="97" t="e">
        <f>AC115/(#REF!+#REF!)*100</f>
        <v>#REF!</v>
      </c>
      <c r="AE115" s="98"/>
      <c r="AF115" s="98"/>
      <c r="AG115" s="99"/>
      <c r="AH115" s="100" t="s">
        <v>249</v>
      </c>
    </row>
    <row r="116" spans="1:34" x14ac:dyDescent="0.3">
      <c r="A116" s="101">
        <v>112</v>
      </c>
      <c r="B116" s="34" t="s">
        <v>26</v>
      </c>
      <c r="C116" s="34" t="s">
        <v>244</v>
      </c>
      <c r="D116" s="35" t="s">
        <v>83</v>
      </c>
      <c r="E116" s="35" t="s">
        <v>29</v>
      </c>
      <c r="F116" s="36" t="s">
        <v>30</v>
      </c>
      <c r="G116" s="37" t="s">
        <v>31</v>
      </c>
      <c r="H116" s="105">
        <f t="shared" si="4"/>
        <v>3316.71</v>
      </c>
      <c r="I116" s="39"/>
      <c r="J116" s="40">
        <v>2266.79</v>
      </c>
      <c r="K116" s="41">
        <f t="shared" si="7"/>
        <v>2266.79</v>
      </c>
      <c r="L116" s="106">
        <f>341.22+76.8</f>
        <v>418.02000000000004</v>
      </c>
      <c r="M116" s="106">
        <v>76.8</v>
      </c>
      <c r="N116" s="40">
        <v>617</v>
      </c>
      <c r="O116" s="43">
        <f t="shared" si="5"/>
        <v>631.9</v>
      </c>
      <c r="P116" s="40">
        <v>577</v>
      </c>
      <c r="Q116" s="40">
        <v>16.399999999999999</v>
      </c>
      <c r="R116" s="40">
        <f>23.6+14.9</f>
        <v>38.5</v>
      </c>
      <c r="S116" s="44">
        <f t="shared" si="6"/>
        <v>2684.81</v>
      </c>
      <c r="T116" s="35" t="s">
        <v>250</v>
      </c>
      <c r="U116" s="70" t="s">
        <v>246</v>
      </c>
      <c r="V116" s="71" t="s">
        <v>83</v>
      </c>
      <c r="W116" s="71" t="s">
        <v>29</v>
      </c>
      <c r="X116" s="70" t="s">
        <v>29</v>
      </c>
      <c r="Y116" s="72" t="e">
        <f>#REF!-H116</f>
        <v>#REF!</v>
      </c>
      <c r="Z116" s="73" t="e">
        <f>#REF!-J116</f>
        <v>#REF!</v>
      </c>
      <c r="AA116" s="74" t="e">
        <f>#REF!-L116</f>
        <v>#REF!</v>
      </c>
      <c r="AB116" s="73" t="e">
        <f>#REF!-N116</f>
        <v>#REF!</v>
      </c>
      <c r="AC116" s="72" t="e">
        <f>(#REF!+#REF!)-S116</f>
        <v>#REF!</v>
      </c>
      <c r="AD116" s="50" t="e">
        <f>AC116/(#REF!+#REF!)*100</f>
        <v>#REF!</v>
      </c>
      <c r="AH116" s="33" t="s">
        <v>34</v>
      </c>
    </row>
    <row r="117" spans="1:34" s="69" customFormat="1" ht="21" x14ac:dyDescent="0.3">
      <c r="A117" s="75">
        <v>113</v>
      </c>
      <c r="B117" s="82" t="s">
        <v>26</v>
      </c>
      <c r="C117" s="82" t="s">
        <v>244</v>
      </c>
      <c r="D117" s="83" t="s">
        <v>85</v>
      </c>
      <c r="E117" s="83" t="s">
        <v>29</v>
      </c>
      <c r="F117" s="84" t="s">
        <v>30</v>
      </c>
      <c r="G117" s="85"/>
      <c r="H117" s="86">
        <f t="shared" si="4"/>
        <v>3487.8900000000003</v>
      </c>
      <c r="I117" s="87"/>
      <c r="J117" s="88">
        <v>2299.19</v>
      </c>
      <c r="K117" s="89">
        <f t="shared" si="7"/>
        <v>2299.19</v>
      </c>
      <c r="L117" s="90">
        <v>350.4</v>
      </c>
      <c r="M117" s="90">
        <v>243.6</v>
      </c>
      <c r="N117" s="88">
        <v>625.29999999999995</v>
      </c>
      <c r="O117" s="91">
        <f t="shared" si="5"/>
        <v>838.3</v>
      </c>
      <c r="P117" s="88">
        <v>302.10000000000002</v>
      </c>
      <c r="Q117" s="88">
        <v>71.7</v>
      </c>
      <c r="R117" s="88">
        <f>83.3+183.7+111.5+86</f>
        <v>464.5</v>
      </c>
      <c r="S117" s="92">
        <f t="shared" si="6"/>
        <v>2649.59</v>
      </c>
      <c r="T117" s="93" t="s">
        <v>57</v>
      </c>
      <c r="U117" s="82" t="s">
        <v>246</v>
      </c>
      <c r="V117" s="83" t="s">
        <v>85</v>
      </c>
      <c r="W117" s="83" t="s">
        <v>29</v>
      </c>
      <c r="X117" s="82" t="s">
        <v>29</v>
      </c>
      <c r="Y117" s="94" t="e">
        <f>#REF!-H117</f>
        <v>#REF!</v>
      </c>
      <c r="Z117" s="95" t="e">
        <f>#REF!-J117</f>
        <v>#REF!</v>
      </c>
      <c r="AA117" s="96" t="e">
        <f>#REF!-L117</f>
        <v>#REF!</v>
      </c>
      <c r="AB117" s="95" t="e">
        <f>#REF!-N117</f>
        <v>#REF!</v>
      </c>
      <c r="AC117" s="94" t="e">
        <f>(#REF!+#REF!)-S117</f>
        <v>#REF!</v>
      </c>
      <c r="AD117" s="97" t="e">
        <f>AC117/(#REF!+#REF!)*100</f>
        <v>#REF!</v>
      </c>
      <c r="AE117" s="98"/>
      <c r="AF117" s="98"/>
      <c r="AG117" s="99"/>
      <c r="AH117" s="100" t="s">
        <v>58</v>
      </c>
    </row>
    <row r="118" spans="1:34" s="69" customFormat="1" x14ac:dyDescent="0.3">
      <c r="A118" s="75">
        <v>114</v>
      </c>
      <c r="B118" s="34" t="s">
        <v>26</v>
      </c>
      <c r="C118" s="34" t="s">
        <v>244</v>
      </c>
      <c r="D118" s="35" t="s">
        <v>195</v>
      </c>
      <c r="E118" s="35" t="s">
        <v>29</v>
      </c>
      <c r="F118" s="36" t="s">
        <v>30</v>
      </c>
      <c r="G118" s="37" t="s">
        <v>31</v>
      </c>
      <c r="H118" s="38">
        <f t="shared" si="4"/>
        <v>2883.79</v>
      </c>
      <c r="I118" s="39"/>
      <c r="J118" s="40">
        <v>2494.89</v>
      </c>
      <c r="K118" s="41">
        <f t="shared" si="7"/>
        <v>2494.89</v>
      </c>
      <c r="L118" s="42">
        <v>0</v>
      </c>
      <c r="M118" s="42"/>
      <c r="N118" s="40">
        <v>388.9</v>
      </c>
      <c r="O118" s="43">
        <f t="shared" si="5"/>
        <v>388.9</v>
      </c>
      <c r="P118" s="40">
        <v>335.2</v>
      </c>
      <c r="Q118" s="40">
        <v>53.7</v>
      </c>
      <c r="R118" s="40"/>
      <c r="S118" s="76">
        <f t="shared" si="6"/>
        <v>2494.89</v>
      </c>
      <c r="T118" s="35" t="s">
        <v>251</v>
      </c>
      <c r="U118" s="34" t="s">
        <v>246</v>
      </c>
      <c r="V118" s="35" t="s">
        <v>195</v>
      </c>
      <c r="W118" s="35" t="s">
        <v>29</v>
      </c>
      <c r="X118" s="34" t="s">
        <v>29</v>
      </c>
      <c r="Y118" s="77" t="e">
        <f>#REF!-H118</f>
        <v>#REF!</v>
      </c>
      <c r="Z118" s="78" t="e">
        <f>#REF!-J118</f>
        <v>#REF!</v>
      </c>
      <c r="AA118" s="79" t="e">
        <f>#REF!-L118</f>
        <v>#REF!</v>
      </c>
      <c r="AB118" s="78" t="e">
        <f>#REF!-N118</f>
        <v>#REF!</v>
      </c>
      <c r="AC118" s="77" t="e">
        <f>(#REF!+#REF!)-S118</f>
        <v>#REF!</v>
      </c>
      <c r="AD118" s="80" t="e">
        <f>AC118/(#REF!+#REF!)*100</f>
        <v>#REF!</v>
      </c>
      <c r="AG118" s="81"/>
      <c r="AH118" s="33" t="s">
        <v>34</v>
      </c>
    </row>
    <row r="119" spans="1:34" s="69" customFormat="1" x14ac:dyDescent="0.3">
      <c r="A119" s="101">
        <v>115</v>
      </c>
      <c r="B119" s="34" t="s">
        <v>26</v>
      </c>
      <c r="C119" s="110" t="s">
        <v>244</v>
      </c>
      <c r="D119" s="111" t="s">
        <v>100</v>
      </c>
      <c r="E119" s="111" t="s">
        <v>29</v>
      </c>
      <c r="F119" s="36" t="s">
        <v>30</v>
      </c>
      <c r="G119" s="37"/>
      <c r="H119" s="38">
        <f t="shared" si="4"/>
        <v>6210.3499999999995</v>
      </c>
      <c r="I119" s="39">
        <v>0</v>
      </c>
      <c r="J119" s="40">
        <v>4827.1499999999996</v>
      </c>
      <c r="K119" s="41">
        <f t="shared" si="7"/>
        <v>4827.1499999999996</v>
      </c>
      <c r="L119" s="42">
        <v>722.2</v>
      </c>
      <c r="M119" s="42"/>
      <c r="N119" s="40">
        <v>661</v>
      </c>
      <c r="O119" s="43">
        <f t="shared" si="5"/>
        <v>661</v>
      </c>
      <c r="P119" s="40">
        <v>578</v>
      </c>
      <c r="Q119" s="40">
        <v>39.200000000000003</v>
      </c>
      <c r="R119" s="40">
        <v>43.8</v>
      </c>
      <c r="S119" s="76">
        <f t="shared" si="6"/>
        <v>5549.3499999999995</v>
      </c>
      <c r="T119" s="35" t="s">
        <v>252</v>
      </c>
      <c r="U119" s="34" t="s">
        <v>246</v>
      </c>
      <c r="V119" s="35" t="s">
        <v>100</v>
      </c>
      <c r="W119" s="35" t="s">
        <v>29</v>
      </c>
      <c r="X119" s="34" t="s">
        <v>29</v>
      </c>
      <c r="Y119" s="77" t="e">
        <f>#REF!-H119</f>
        <v>#REF!</v>
      </c>
      <c r="Z119" s="78" t="e">
        <f>#REF!-J119</f>
        <v>#REF!</v>
      </c>
      <c r="AA119" s="79" t="e">
        <f>#REF!-L119</f>
        <v>#REF!</v>
      </c>
      <c r="AB119" s="78" t="e">
        <f>#REF!-N119</f>
        <v>#REF!</v>
      </c>
      <c r="AC119" s="77" t="e">
        <f>(#REF!+#REF!)-S119</f>
        <v>#REF!</v>
      </c>
      <c r="AD119" s="80" t="e">
        <f>AC119/(#REF!+#REF!)*100</f>
        <v>#REF!</v>
      </c>
      <c r="AG119" s="81"/>
      <c r="AH119" s="33" t="s">
        <v>34</v>
      </c>
    </row>
    <row r="120" spans="1:34" s="69" customFormat="1" x14ac:dyDescent="0.3">
      <c r="A120" s="75">
        <v>116</v>
      </c>
      <c r="B120" s="34" t="s">
        <v>26</v>
      </c>
      <c r="C120" s="110" t="s">
        <v>244</v>
      </c>
      <c r="D120" s="111" t="s">
        <v>105</v>
      </c>
      <c r="E120" s="111" t="s">
        <v>29</v>
      </c>
      <c r="F120" s="36" t="s">
        <v>30</v>
      </c>
      <c r="G120" s="37" t="s">
        <v>31</v>
      </c>
      <c r="H120" s="38">
        <f t="shared" si="4"/>
        <v>679.49701575947245</v>
      </c>
      <c r="I120" s="39"/>
      <c r="J120" s="40">
        <v>535.08000000000004</v>
      </c>
      <c r="K120" s="41">
        <f t="shared" si="7"/>
        <v>535.08000000000004</v>
      </c>
      <c r="L120" s="42">
        <v>0</v>
      </c>
      <c r="M120" s="42"/>
      <c r="N120" s="40">
        <v>161.19</v>
      </c>
      <c r="O120" s="43">
        <f t="shared" si="5"/>
        <v>144.41701575947243</v>
      </c>
      <c r="P120" s="41">
        <f>551*AE120</f>
        <v>99.268682239856929</v>
      </c>
      <c r="Q120" s="41">
        <f>250.6*AE120</f>
        <v>45.148333519615512</v>
      </c>
      <c r="R120" s="41"/>
      <c r="S120" s="76">
        <f t="shared" si="6"/>
        <v>535.08000000000004</v>
      </c>
      <c r="T120" s="35" t="s">
        <v>253</v>
      </c>
      <c r="U120" s="34" t="s">
        <v>246</v>
      </c>
      <c r="V120" s="35" t="s">
        <v>254</v>
      </c>
      <c r="W120" s="35" t="s">
        <v>170</v>
      </c>
      <c r="X120" s="34" t="s">
        <v>29</v>
      </c>
      <c r="Y120" s="77" t="e">
        <f>#REF!-H120</f>
        <v>#REF!</v>
      </c>
      <c r="Z120" s="78" t="e">
        <f>#REF!-J120</f>
        <v>#REF!</v>
      </c>
      <c r="AA120" s="79" t="e">
        <f>#REF!-L120</f>
        <v>#REF!</v>
      </c>
      <c r="AB120" s="78" t="e">
        <f>#REF!-N120</f>
        <v>#REF!</v>
      </c>
      <c r="AC120" s="77" t="e">
        <f>(#REF!+#REF!)-S120</f>
        <v>#REF!</v>
      </c>
      <c r="AD120" s="80" t="e">
        <f>AC120/(#REF!+#REF!)*100</f>
        <v>#REF!</v>
      </c>
      <c r="AE120" s="69">
        <f>N120/894.7</f>
        <v>0.1801609478037331</v>
      </c>
      <c r="AF120" s="69">
        <v>894.7</v>
      </c>
      <c r="AG120" s="81"/>
      <c r="AH120" s="33" t="s">
        <v>34</v>
      </c>
    </row>
    <row r="121" spans="1:34" s="69" customFormat="1" x14ac:dyDescent="0.3">
      <c r="A121" s="75">
        <v>117</v>
      </c>
      <c r="B121" s="34" t="s">
        <v>26</v>
      </c>
      <c r="C121" s="110" t="s">
        <v>244</v>
      </c>
      <c r="D121" s="111" t="s">
        <v>105</v>
      </c>
      <c r="E121" s="111" t="s">
        <v>29</v>
      </c>
      <c r="F121" s="36" t="s">
        <v>30</v>
      </c>
      <c r="G121" s="37" t="s">
        <v>31</v>
      </c>
      <c r="H121" s="38">
        <f t="shared" si="4"/>
        <v>3497.2513177601431</v>
      </c>
      <c r="I121" s="39">
        <v>20.84</v>
      </c>
      <c r="J121" s="40">
        <f>2434.92-3.7-20.84</f>
        <v>2410.38</v>
      </c>
      <c r="K121" s="41">
        <f t="shared" si="7"/>
        <v>2431.2200000000003</v>
      </c>
      <c r="L121" s="42">
        <v>363.5</v>
      </c>
      <c r="M121" s="42"/>
      <c r="N121" s="40">
        <v>733.51</v>
      </c>
      <c r="O121" s="43">
        <f t="shared" si="5"/>
        <v>702.53131776014311</v>
      </c>
      <c r="P121" s="41">
        <f>551*AE121</f>
        <v>451.73131776014304</v>
      </c>
      <c r="Q121" s="41">
        <v>250.8</v>
      </c>
      <c r="R121" s="41"/>
      <c r="S121" s="76">
        <f t="shared" si="6"/>
        <v>2794.7200000000003</v>
      </c>
      <c r="T121" s="35" t="s">
        <v>255</v>
      </c>
      <c r="U121" s="34" t="s">
        <v>246</v>
      </c>
      <c r="V121" s="35" t="s">
        <v>105</v>
      </c>
      <c r="W121" s="35" t="s">
        <v>29</v>
      </c>
      <c r="X121" s="34" t="s">
        <v>29</v>
      </c>
      <c r="Y121" s="77" t="e">
        <f>#REF!-H121</f>
        <v>#REF!</v>
      </c>
      <c r="Z121" s="78" t="e">
        <f>#REF!-J121</f>
        <v>#REF!</v>
      </c>
      <c r="AA121" s="79" t="e">
        <f>#REF!-L121</f>
        <v>#REF!</v>
      </c>
      <c r="AB121" s="78" t="e">
        <f>#REF!-N121</f>
        <v>#REF!</v>
      </c>
      <c r="AC121" s="77" t="e">
        <f>(#REF!+#REF!)-S121</f>
        <v>#REF!</v>
      </c>
      <c r="AD121" s="80" t="e">
        <f>AC121/(#REF!+#REF!)*100</f>
        <v>#REF!</v>
      </c>
      <c r="AE121" s="69">
        <f>N121/894.7</f>
        <v>0.81983905219626685</v>
      </c>
      <c r="AG121" s="81"/>
      <c r="AH121" s="33" t="s">
        <v>34</v>
      </c>
    </row>
    <row r="122" spans="1:34" s="69" customFormat="1" x14ac:dyDescent="0.3">
      <c r="A122" s="101">
        <v>118</v>
      </c>
      <c r="B122" s="34" t="s">
        <v>26</v>
      </c>
      <c r="C122" s="34" t="s">
        <v>244</v>
      </c>
      <c r="D122" s="35" t="s">
        <v>105</v>
      </c>
      <c r="E122" s="35" t="s">
        <v>161</v>
      </c>
      <c r="F122" s="36" t="s">
        <v>30</v>
      </c>
      <c r="G122" s="37" t="s">
        <v>31</v>
      </c>
      <c r="H122" s="38">
        <f t="shared" si="4"/>
        <v>3584.32</v>
      </c>
      <c r="I122" s="39"/>
      <c r="J122" s="40">
        <v>3104.82</v>
      </c>
      <c r="K122" s="41">
        <f t="shared" si="7"/>
        <v>3104.82</v>
      </c>
      <c r="L122" s="42">
        <v>0</v>
      </c>
      <c r="M122" s="42"/>
      <c r="N122" s="40">
        <v>479.5</v>
      </c>
      <c r="O122" s="43">
        <f t="shared" si="5"/>
        <v>479.5</v>
      </c>
      <c r="P122" s="40">
        <v>432</v>
      </c>
      <c r="Q122" s="40">
        <v>47.5</v>
      </c>
      <c r="R122" s="40"/>
      <c r="S122" s="76">
        <f t="shared" si="6"/>
        <v>3104.82</v>
      </c>
      <c r="T122" s="35" t="s">
        <v>256</v>
      </c>
      <c r="U122" s="34" t="s">
        <v>246</v>
      </c>
      <c r="V122" s="35" t="s">
        <v>105</v>
      </c>
      <c r="W122" s="35" t="s">
        <v>161</v>
      </c>
      <c r="X122" s="34" t="s">
        <v>29</v>
      </c>
      <c r="Y122" s="77" t="e">
        <f>#REF!-H122</f>
        <v>#REF!</v>
      </c>
      <c r="Z122" s="78" t="e">
        <f>#REF!-J122</f>
        <v>#REF!</v>
      </c>
      <c r="AA122" s="79" t="e">
        <f>#REF!-L122</f>
        <v>#REF!</v>
      </c>
      <c r="AB122" s="78" t="e">
        <f>#REF!-N122</f>
        <v>#REF!</v>
      </c>
      <c r="AC122" s="77" t="e">
        <f>(#REF!+#REF!)-S122</f>
        <v>#REF!</v>
      </c>
      <c r="AD122" s="80" t="e">
        <f>AC122/(#REF!+#REF!)*100</f>
        <v>#REF!</v>
      </c>
      <c r="AG122" s="81"/>
      <c r="AH122" s="33" t="s">
        <v>34</v>
      </c>
    </row>
    <row r="123" spans="1:34" s="69" customFormat="1" x14ac:dyDescent="0.3">
      <c r="A123" s="75">
        <v>119</v>
      </c>
      <c r="B123" s="34" t="s">
        <v>257</v>
      </c>
      <c r="C123" s="34" t="s">
        <v>244</v>
      </c>
      <c r="D123" s="35" t="s">
        <v>258</v>
      </c>
      <c r="E123" s="35" t="s">
        <v>29</v>
      </c>
      <c r="F123" s="36" t="s">
        <v>43</v>
      </c>
      <c r="G123" s="37"/>
      <c r="H123" s="38">
        <f t="shared" si="4"/>
        <v>2130.42</v>
      </c>
      <c r="I123" s="39"/>
      <c r="J123" s="40">
        <v>1919.32</v>
      </c>
      <c r="K123" s="41">
        <f t="shared" si="7"/>
        <v>1919.32</v>
      </c>
      <c r="L123" s="42">
        <f>53.5+16.3</f>
        <v>69.8</v>
      </c>
      <c r="M123" s="42">
        <v>16.3</v>
      </c>
      <c r="N123" s="40">
        <v>157.88999999999999</v>
      </c>
      <c r="O123" s="43">
        <f t="shared" si="5"/>
        <v>141.30000000000001</v>
      </c>
      <c r="P123" s="40">
        <v>141.30000000000001</v>
      </c>
      <c r="Q123" s="40"/>
      <c r="R123" s="40"/>
      <c r="S123" s="76">
        <f t="shared" si="6"/>
        <v>1989.12</v>
      </c>
      <c r="T123" s="35" t="s">
        <v>259</v>
      </c>
      <c r="U123" s="34" t="s">
        <v>246</v>
      </c>
      <c r="V123" s="35" t="s">
        <v>258</v>
      </c>
      <c r="W123" s="35" t="s">
        <v>29</v>
      </c>
      <c r="X123" s="34" t="s">
        <v>29</v>
      </c>
      <c r="Y123" s="77" t="e">
        <f>#REF!-H123</f>
        <v>#REF!</v>
      </c>
      <c r="Z123" s="78" t="e">
        <f>#REF!-J123</f>
        <v>#REF!</v>
      </c>
      <c r="AA123" s="79" t="e">
        <f>#REF!-L123</f>
        <v>#REF!</v>
      </c>
      <c r="AB123" s="78" t="e">
        <f>#REF!-N123</f>
        <v>#REF!</v>
      </c>
      <c r="AC123" s="77" t="e">
        <f>(#REF!+#REF!)-S123</f>
        <v>#REF!</v>
      </c>
      <c r="AD123" s="80" t="e">
        <f>AC123/(#REF!+#REF!)*100</f>
        <v>#REF!</v>
      </c>
      <c r="AG123" s="81"/>
      <c r="AH123" s="33" t="s">
        <v>34</v>
      </c>
    </row>
    <row r="124" spans="1:34" x14ac:dyDescent="0.3">
      <c r="A124" s="75">
        <v>120</v>
      </c>
      <c r="B124" s="34" t="s">
        <v>26</v>
      </c>
      <c r="C124" s="34" t="s">
        <v>244</v>
      </c>
      <c r="D124" s="35" t="s">
        <v>198</v>
      </c>
      <c r="E124" s="35" t="s">
        <v>29</v>
      </c>
      <c r="F124" s="36" t="s">
        <v>30</v>
      </c>
      <c r="G124" s="37" t="s">
        <v>31</v>
      </c>
      <c r="H124" s="38">
        <f t="shared" si="4"/>
        <v>3474.9</v>
      </c>
      <c r="I124" s="39"/>
      <c r="J124" s="40">
        <v>2130</v>
      </c>
      <c r="K124" s="41">
        <f t="shared" si="7"/>
        <v>2130</v>
      </c>
      <c r="L124" s="42">
        <f>925.3-1.4</f>
        <v>923.9</v>
      </c>
      <c r="M124" s="42"/>
      <c r="N124" s="42">
        <v>419</v>
      </c>
      <c r="O124" s="43">
        <f t="shared" si="5"/>
        <v>421</v>
      </c>
      <c r="P124" s="42">
        <v>301.5</v>
      </c>
      <c r="Q124" s="42">
        <v>38.5</v>
      </c>
      <c r="R124" s="42">
        <v>81</v>
      </c>
      <c r="S124" s="44">
        <f t="shared" si="6"/>
        <v>3053.9</v>
      </c>
      <c r="T124" s="35" t="s">
        <v>260</v>
      </c>
      <c r="U124" s="70" t="s">
        <v>246</v>
      </c>
      <c r="V124" s="71" t="s">
        <v>198</v>
      </c>
      <c r="W124" s="71" t="s">
        <v>29</v>
      </c>
      <c r="X124" s="70" t="s">
        <v>29</v>
      </c>
      <c r="Y124" s="72" t="e">
        <f>#REF!-H124</f>
        <v>#REF!</v>
      </c>
      <c r="Z124" s="73" t="e">
        <f>#REF!-J124</f>
        <v>#REF!</v>
      </c>
      <c r="AA124" s="74" t="e">
        <f>#REF!-L124</f>
        <v>#REF!</v>
      </c>
      <c r="AB124" s="73" t="e">
        <f>#REF!-N124</f>
        <v>#REF!</v>
      </c>
      <c r="AC124" s="72" t="e">
        <f>(#REF!+#REF!)-S124</f>
        <v>#REF!</v>
      </c>
      <c r="AD124" s="50" t="e">
        <f>AC124/(#REF!+#REF!)*100</f>
        <v>#REF!</v>
      </c>
      <c r="AH124" s="33" t="s">
        <v>34</v>
      </c>
    </row>
    <row r="125" spans="1:34" x14ac:dyDescent="0.3">
      <c r="A125" s="75">
        <v>121</v>
      </c>
      <c r="B125" s="34" t="s">
        <v>26</v>
      </c>
      <c r="C125" s="34" t="s">
        <v>244</v>
      </c>
      <c r="D125" s="35" t="s">
        <v>198</v>
      </c>
      <c r="E125" s="35" t="s">
        <v>29</v>
      </c>
      <c r="F125" s="36" t="s">
        <v>43</v>
      </c>
      <c r="G125" s="37" t="s">
        <v>31</v>
      </c>
      <c r="H125" s="38">
        <f t="shared" si="4"/>
        <v>5120.4100000000008</v>
      </c>
      <c r="I125" s="39"/>
      <c r="J125" s="40">
        <v>3643.71</v>
      </c>
      <c r="K125" s="41">
        <f t="shared" si="7"/>
        <v>3643.71</v>
      </c>
      <c r="L125" s="42">
        <v>944.1</v>
      </c>
      <c r="M125" s="42"/>
      <c r="N125" s="42">
        <v>512.9</v>
      </c>
      <c r="O125" s="43">
        <f t="shared" si="5"/>
        <v>532.6</v>
      </c>
      <c r="P125" s="42">
        <v>456.5</v>
      </c>
      <c r="Q125" s="42">
        <v>76.099999999999994</v>
      </c>
      <c r="R125" s="42"/>
      <c r="S125" s="44">
        <f t="shared" si="6"/>
        <v>4587.8100000000004</v>
      </c>
      <c r="T125" s="35" t="s">
        <v>261</v>
      </c>
      <c r="U125" s="70" t="s">
        <v>246</v>
      </c>
      <c r="V125" s="71" t="s">
        <v>198</v>
      </c>
      <c r="W125" s="71" t="s">
        <v>29</v>
      </c>
      <c r="X125" s="70" t="s">
        <v>29</v>
      </c>
      <c r="Y125" s="72" t="e">
        <f>#REF!-H125</f>
        <v>#REF!</v>
      </c>
      <c r="Z125" s="73" t="e">
        <f>#REF!-J125</f>
        <v>#REF!</v>
      </c>
      <c r="AA125" s="74" t="e">
        <f>#REF!-L125</f>
        <v>#REF!</v>
      </c>
      <c r="AB125" s="73" t="e">
        <f>#REF!-N125</f>
        <v>#REF!</v>
      </c>
      <c r="AC125" s="72" t="e">
        <f>(#REF!+#REF!)-S125</f>
        <v>#REF!</v>
      </c>
      <c r="AD125" s="50" t="e">
        <f>AC125/(#REF!+#REF!)*100</f>
        <v>#REF!</v>
      </c>
      <c r="AH125" s="33" t="s">
        <v>34</v>
      </c>
    </row>
    <row r="126" spans="1:34" x14ac:dyDescent="0.3">
      <c r="A126" s="101">
        <v>122</v>
      </c>
      <c r="B126" s="34" t="s">
        <v>26</v>
      </c>
      <c r="C126" s="34" t="s">
        <v>244</v>
      </c>
      <c r="D126" s="35" t="s">
        <v>202</v>
      </c>
      <c r="E126" s="35" t="s">
        <v>262</v>
      </c>
      <c r="F126" s="36" t="s">
        <v>30</v>
      </c>
      <c r="G126" s="37" t="s">
        <v>31</v>
      </c>
      <c r="H126" s="38">
        <f t="shared" si="4"/>
        <v>2406.5317558404768</v>
      </c>
      <c r="I126" s="39">
        <v>153.30000000000001</v>
      </c>
      <c r="J126" s="40">
        <f>558.13-152.9</f>
        <v>405.23</v>
      </c>
      <c r="K126" s="41">
        <f t="shared" si="7"/>
        <v>558.53</v>
      </c>
      <c r="L126" s="42">
        <v>1694.9</v>
      </c>
      <c r="M126" s="42"/>
      <c r="N126" s="40">
        <v>233.22</v>
      </c>
      <c r="O126" s="43">
        <f t="shared" si="5"/>
        <v>153.10175584047664</v>
      </c>
      <c r="P126" s="41">
        <f>2819.8*AE126</f>
        <v>136.99133557613192</v>
      </c>
      <c r="Q126" s="42">
        <f>176*AE126</f>
        <v>8.5504202643447105</v>
      </c>
      <c r="R126" s="41">
        <v>7.56</v>
      </c>
      <c r="S126" s="44">
        <f t="shared" si="6"/>
        <v>2253.4300000000003</v>
      </c>
      <c r="T126" s="35" t="s">
        <v>263</v>
      </c>
      <c r="U126" s="45" t="s">
        <v>246</v>
      </c>
      <c r="V126" s="46" t="s">
        <v>202</v>
      </c>
      <c r="W126" s="46" t="s">
        <v>170</v>
      </c>
      <c r="X126" s="45" t="s">
        <v>29</v>
      </c>
      <c r="Y126" s="72" t="e">
        <f>#REF!-H126</f>
        <v>#REF!</v>
      </c>
      <c r="Z126" s="73" t="e">
        <f>#REF!-J126</f>
        <v>#REF!</v>
      </c>
      <c r="AA126" s="74" t="e">
        <f>#REF!-L126</f>
        <v>#REF!</v>
      </c>
      <c r="AB126" s="73" t="e">
        <f>#REF!-N126</f>
        <v>#REF!</v>
      </c>
      <c r="AC126" s="72" t="e">
        <f>(#REF!+#REF!)-S126</f>
        <v>#REF!</v>
      </c>
      <c r="AD126" s="50" t="e">
        <f>AC126/(#REF!+#REF!)*100</f>
        <v>#REF!</v>
      </c>
      <c r="AE126" s="7">
        <f>N126/4800.55</f>
        <v>4.8581933320140401E-2</v>
      </c>
      <c r="AF126" s="7">
        <v>4800.55</v>
      </c>
      <c r="AH126" s="33" t="s">
        <v>34</v>
      </c>
    </row>
    <row r="127" spans="1:34" x14ac:dyDescent="0.3">
      <c r="A127" s="75">
        <v>123</v>
      </c>
      <c r="B127" s="34" t="s">
        <v>26</v>
      </c>
      <c r="C127" s="34" t="s">
        <v>244</v>
      </c>
      <c r="D127" s="35" t="s">
        <v>202</v>
      </c>
      <c r="E127" s="35" t="s">
        <v>29</v>
      </c>
      <c r="F127" s="36" t="s">
        <v>30</v>
      </c>
      <c r="G127" s="37" t="s">
        <v>31</v>
      </c>
      <c r="H127" s="105">
        <f t="shared" si="4"/>
        <v>17292.116781827084</v>
      </c>
      <c r="I127" s="39"/>
      <c r="J127" s="40">
        <f>13637.03</f>
        <v>13637.03</v>
      </c>
      <c r="K127" s="41">
        <f t="shared" si="7"/>
        <v>13637.03</v>
      </c>
      <c r="L127" s="106">
        <f>1019.65+191.4+98+79.9-191.4</f>
        <v>1197.55</v>
      </c>
      <c r="M127" s="106">
        <f>98+79.9</f>
        <v>177.9</v>
      </c>
      <c r="N127" s="40">
        <f>4132.31</f>
        <v>4132.3100000000004</v>
      </c>
      <c r="O127" s="43">
        <f t="shared" si="5"/>
        <v>2457.5367818270825</v>
      </c>
      <c r="P127" s="41">
        <f>2819.8*AE127-467.4</f>
        <v>1959.8818193748634</v>
      </c>
      <c r="Q127" s="42">
        <f>176*AE127+17</f>
        <v>168.50067388111779</v>
      </c>
      <c r="R127" s="41">
        <f>155.5*AE127+3.9+191.4</f>
        <v>329.15428857110123</v>
      </c>
      <c r="S127" s="44">
        <f t="shared" si="6"/>
        <v>14834.58</v>
      </c>
      <c r="T127" s="35" t="s">
        <v>264</v>
      </c>
      <c r="U127" s="45" t="s">
        <v>246</v>
      </c>
      <c r="V127" s="46" t="s">
        <v>202</v>
      </c>
      <c r="W127" s="46" t="s">
        <v>29</v>
      </c>
      <c r="X127" s="45" t="s">
        <v>29</v>
      </c>
      <c r="Y127" s="72" t="e">
        <f>#REF!-H127</f>
        <v>#REF!</v>
      </c>
      <c r="Z127" s="73" t="e">
        <f>#REF!-J127</f>
        <v>#REF!</v>
      </c>
      <c r="AA127" s="74" t="e">
        <f>#REF!-L127</f>
        <v>#REF!</v>
      </c>
      <c r="AB127" s="73" t="e">
        <f>#REF!-N127</f>
        <v>#REF!</v>
      </c>
      <c r="AC127" s="72" t="e">
        <f>(#REF!+#REF!)-S127</f>
        <v>#REF!</v>
      </c>
      <c r="AD127" s="50" t="e">
        <f>AC127/(#REF!+#REF!)*100</f>
        <v>#REF!</v>
      </c>
      <c r="AE127" s="7">
        <f>N127/4800.55</f>
        <v>0.86079928341544198</v>
      </c>
      <c r="AH127" s="33" t="s">
        <v>34</v>
      </c>
    </row>
    <row r="128" spans="1:34" x14ac:dyDescent="0.3">
      <c r="A128" s="75">
        <v>124</v>
      </c>
      <c r="B128" s="34" t="s">
        <v>26</v>
      </c>
      <c r="C128" s="34" t="s">
        <v>244</v>
      </c>
      <c r="D128" s="35" t="s">
        <v>202</v>
      </c>
      <c r="E128" s="35" t="s">
        <v>29</v>
      </c>
      <c r="F128" s="36" t="s">
        <v>30</v>
      </c>
      <c r="G128" s="37" t="s">
        <v>31</v>
      </c>
      <c r="H128" s="38">
        <f t="shared" si="4"/>
        <v>1761.3669717011592</v>
      </c>
      <c r="I128" s="39"/>
      <c r="J128" s="40">
        <v>1475.8</v>
      </c>
      <c r="K128" s="41">
        <f t="shared" si="7"/>
        <v>1475.8</v>
      </c>
      <c r="L128" s="42">
        <v>0</v>
      </c>
      <c r="M128" s="42"/>
      <c r="N128" s="40">
        <v>435.02</v>
      </c>
      <c r="O128" s="43">
        <f t="shared" si="5"/>
        <v>285.56697170115922</v>
      </c>
      <c r="P128" s="41">
        <f>2819.8*AE128</f>
        <v>255.52684504900478</v>
      </c>
      <c r="Q128" s="42">
        <f>176*AE128</f>
        <v>15.948905854537498</v>
      </c>
      <c r="R128" s="41">
        <f>155.5*AE128</f>
        <v>14.091220797616938</v>
      </c>
      <c r="S128" s="44">
        <f t="shared" si="6"/>
        <v>1475.8</v>
      </c>
      <c r="T128" s="35" t="s">
        <v>265</v>
      </c>
      <c r="U128" s="45" t="s">
        <v>246</v>
      </c>
      <c r="V128" s="46" t="s">
        <v>266</v>
      </c>
      <c r="W128" s="46" t="s">
        <v>173</v>
      </c>
      <c r="X128" s="45" t="s">
        <v>29</v>
      </c>
      <c r="Y128" s="72" t="e">
        <f>#REF!-H128</f>
        <v>#REF!</v>
      </c>
      <c r="Z128" s="73" t="e">
        <f>#REF!-J128</f>
        <v>#REF!</v>
      </c>
      <c r="AA128" s="74" t="e">
        <f>#REF!-L128</f>
        <v>#REF!</v>
      </c>
      <c r="AB128" s="73" t="e">
        <f>#REF!-N128</f>
        <v>#REF!</v>
      </c>
      <c r="AC128" s="72" t="e">
        <f>(#REF!+#REF!)-S128</f>
        <v>#REF!</v>
      </c>
      <c r="AD128" s="50" t="e">
        <f>AC128/(#REF!+#REF!)*100</f>
        <v>#REF!</v>
      </c>
      <c r="AE128" s="7">
        <f>N128/4800.55</f>
        <v>9.0618783264417607E-2</v>
      </c>
      <c r="AH128" s="33" t="s">
        <v>34</v>
      </c>
    </row>
    <row r="129" spans="1:34" x14ac:dyDescent="0.3">
      <c r="A129" s="101">
        <v>125</v>
      </c>
      <c r="B129" s="34" t="s">
        <v>26</v>
      </c>
      <c r="C129" s="34" t="s">
        <v>244</v>
      </c>
      <c r="D129" s="35" t="s">
        <v>205</v>
      </c>
      <c r="E129" s="35" t="s">
        <v>29</v>
      </c>
      <c r="F129" s="36" t="s">
        <v>30</v>
      </c>
      <c r="G129" s="37" t="s">
        <v>31</v>
      </c>
      <c r="H129" s="105">
        <f t="shared" si="4"/>
        <v>10414.17</v>
      </c>
      <c r="I129" s="39">
        <v>28.21</v>
      </c>
      <c r="J129" s="40">
        <v>7221.56</v>
      </c>
      <c r="K129" s="41">
        <f t="shared" si="7"/>
        <v>7249.77</v>
      </c>
      <c r="L129" s="106">
        <f>1760.7+91.5</f>
        <v>1852.2</v>
      </c>
      <c r="M129" s="106">
        <v>91.5</v>
      </c>
      <c r="N129" s="40">
        <v>1042.79</v>
      </c>
      <c r="O129" s="43">
        <f t="shared" si="5"/>
        <v>1312.2</v>
      </c>
      <c r="P129" s="40">
        <v>958</v>
      </c>
      <c r="Q129" s="40">
        <f>37.6+70.6</f>
        <v>108.19999999999999</v>
      </c>
      <c r="R129" s="40">
        <v>246</v>
      </c>
      <c r="S129" s="44">
        <f t="shared" si="6"/>
        <v>9101.9699999999993</v>
      </c>
      <c r="T129" s="35" t="s">
        <v>267</v>
      </c>
      <c r="U129" s="70" t="s">
        <v>246</v>
      </c>
      <c r="V129" s="71" t="s">
        <v>205</v>
      </c>
      <c r="W129" s="71" t="s">
        <v>29</v>
      </c>
      <c r="X129" s="70" t="s">
        <v>29</v>
      </c>
      <c r="Y129" s="72" t="e">
        <f>#REF!-H129</f>
        <v>#REF!</v>
      </c>
      <c r="Z129" s="73" t="e">
        <f>#REF!-J129</f>
        <v>#REF!</v>
      </c>
      <c r="AA129" s="74" t="e">
        <f>#REF!-L129</f>
        <v>#REF!</v>
      </c>
      <c r="AB129" s="73" t="e">
        <f>#REF!-N129</f>
        <v>#REF!</v>
      </c>
      <c r="AC129" s="72" t="e">
        <f>(#REF!+#REF!)-S129</f>
        <v>#REF!</v>
      </c>
      <c r="AD129" s="50" t="e">
        <f>AC129/(#REF!+#REF!)*100</f>
        <v>#REF!</v>
      </c>
      <c r="AH129" s="33" t="s">
        <v>34</v>
      </c>
    </row>
    <row r="130" spans="1:34" x14ac:dyDescent="0.3">
      <c r="A130" s="75">
        <v>126</v>
      </c>
      <c r="B130" s="34" t="s">
        <v>26</v>
      </c>
      <c r="C130" s="34" t="s">
        <v>244</v>
      </c>
      <c r="D130" s="35" t="s">
        <v>268</v>
      </c>
      <c r="E130" s="35" t="s">
        <v>29</v>
      </c>
      <c r="F130" s="36" t="s">
        <v>30</v>
      </c>
      <c r="G130" s="37"/>
      <c r="H130" s="38">
        <f t="shared" si="4"/>
        <v>6502.16</v>
      </c>
      <c r="I130" s="39"/>
      <c r="J130" s="40">
        <v>4221.46</v>
      </c>
      <c r="K130" s="41">
        <f t="shared" si="7"/>
        <v>4221.46</v>
      </c>
      <c r="L130" s="42">
        <f>1384.1+116+7.5</f>
        <v>1507.6</v>
      </c>
      <c r="M130" s="42">
        <v>116</v>
      </c>
      <c r="N130" s="40">
        <v>624</v>
      </c>
      <c r="O130" s="43">
        <f t="shared" si="5"/>
        <v>773.1</v>
      </c>
      <c r="P130" s="40">
        <v>624</v>
      </c>
      <c r="Q130" s="40"/>
      <c r="R130" s="40">
        <v>149.1</v>
      </c>
      <c r="S130" s="44">
        <f t="shared" si="6"/>
        <v>5729.0599999999995</v>
      </c>
      <c r="T130" s="35" t="s">
        <v>269</v>
      </c>
      <c r="U130" s="70" t="s">
        <v>246</v>
      </c>
      <c r="V130" s="71" t="s">
        <v>268</v>
      </c>
      <c r="W130" s="71" t="s">
        <v>29</v>
      </c>
      <c r="X130" s="70" t="s">
        <v>29</v>
      </c>
      <c r="Y130" s="72" t="e">
        <f>#REF!-H130</f>
        <v>#REF!</v>
      </c>
      <c r="Z130" s="73" t="e">
        <f>#REF!-J130</f>
        <v>#REF!</v>
      </c>
      <c r="AA130" s="74" t="e">
        <f>#REF!-L130</f>
        <v>#REF!</v>
      </c>
      <c r="AB130" s="73" t="e">
        <f>#REF!-N130</f>
        <v>#REF!</v>
      </c>
      <c r="AC130" s="72" t="e">
        <f>(#REF!+#REF!)-S130</f>
        <v>#REF!</v>
      </c>
      <c r="AD130" s="50" t="e">
        <f>AC130/(#REF!+#REF!)*100</f>
        <v>#REF!</v>
      </c>
      <c r="AH130" s="33" t="s">
        <v>34</v>
      </c>
    </row>
    <row r="131" spans="1:34" x14ac:dyDescent="0.3">
      <c r="A131" s="75">
        <v>127</v>
      </c>
      <c r="B131" s="34" t="s">
        <v>26</v>
      </c>
      <c r="C131" s="34" t="s">
        <v>244</v>
      </c>
      <c r="D131" s="35" t="s">
        <v>270</v>
      </c>
      <c r="E131" s="35" t="s">
        <v>29</v>
      </c>
      <c r="F131" s="36" t="s">
        <v>29</v>
      </c>
      <c r="G131" s="37"/>
      <c r="H131" s="105">
        <f t="shared" si="4"/>
        <v>5710.2500000000009</v>
      </c>
      <c r="I131" s="39"/>
      <c r="J131" s="40">
        <v>4115.8500000000004</v>
      </c>
      <c r="K131" s="41">
        <f t="shared" si="7"/>
        <v>4115.8500000000004</v>
      </c>
      <c r="L131" s="106">
        <f>701+128.9+77.5+68.7</f>
        <v>976.1</v>
      </c>
      <c r="M131" s="106">
        <f>128.9+77.5+68.7</f>
        <v>275.10000000000002</v>
      </c>
      <c r="N131" s="40">
        <v>618.21</v>
      </c>
      <c r="O131" s="43">
        <f t="shared" si="5"/>
        <v>618.30000000000007</v>
      </c>
      <c r="P131" s="40">
        <v>556</v>
      </c>
      <c r="Q131" s="40">
        <v>24.1</v>
      </c>
      <c r="R131" s="40">
        <v>38.200000000000003</v>
      </c>
      <c r="S131" s="44">
        <f t="shared" si="6"/>
        <v>5091.9500000000007</v>
      </c>
      <c r="T131" s="35" t="s">
        <v>271</v>
      </c>
      <c r="U131" s="70" t="s">
        <v>246</v>
      </c>
      <c r="V131" s="71" t="s">
        <v>272</v>
      </c>
      <c r="W131" s="71" t="s">
        <v>29</v>
      </c>
      <c r="X131" s="70" t="s">
        <v>29</v>
      </c>
      <c r="Y131" s="72" t="e">
        <f>#REF!-H131</f>
        <v>#REF!</v>
      </c>
      <c r="Z131" s="73" t="e">
        <f>#REF!-J131</f>
        <v>#REF!</v>
      </c>
      <c r="AA131" s="74" t="e">
        <f>#REF!-L131</f>
        <v>#REF!</v>
      </c>
      <c r="AB131" s="73" t="e">
        <f>#REF!-N131</f>
        <v>#REF!</v>
      </c>
      <c r="AC131" s="72" t="e">
        <f>(#REF!+#REF!)-S131</f>
        <v>#REF!</v>
      </c>
      <c r="AD131" s="50" t="e">
        <f>AC131/(#REF!+#REF!)*100</f>
        <v>#REF!</v>
      </c>
      <c r="AH131" s="33" t="s">
        <v>34</v>
      </c>
    </row>
    <row r="132" spans="1:34" x14ac:dyDescent="0.3">
      <c r="A132" s="101">
        <v>128</v>
      </c>
      <c r="B132" s="34" t="s">
        <v>26</v>
      </c>
      <c r="C132" s="34" t="s">
        <v>244</v>
      </c>
      <c r="D132" s="35" t="s">
        <v>116</v>
      </c>
      <c r="E132" s="35" t="s">
        <v>29</v>
      </c>
      <c r="F132" s="36" t="s">
        <v>30</v>
      </c>
      <c r="G132" s="37" t="s">
        <v>31</v>
      </c>
      <c r="H132" s="38">
        <f t="shared" si="4"/>
        <v>7077.42</v>
      </c>
      <c r="I132" s="39"/>
      <c r="J132" s="40">
        <f>4607.87+0.05</f>
        <v>4607.92</v>
      </c>
      <c r="K132" s="41">
        <f t="shared" si="7"/>
        <v>4607.92</v>
      </c>
      <c r="L132" s="42">
        <v>1758.7</v>
      </c>
      <c r="M132" s="42">
        <v>123.1</v>
      </c>
      <c r="N132" s="40">
        <v>689</v>
      </c>
      <c r="O132" s="43">
        <f t="shared" si="5"/>
        <v>710.8</v>
      </c>
      <c r="P132" s="40">
        <v>689</v>
      </c>
      <c r="Q132" s="40">
        <v>21.8</v>
      </c>
      <c r="R132" s="40"/>
      <c r="S132" s="44">
        <f t="shared" si="6"/>
        <v>6366.62</v>
      </c>
      <c r="T132" s="35" t="s">
        <v>273</v>
      </c>
      <c r="U132" s="70" t="s">
        <v>246</v>
      </c>
      <c r="V132" s="71" t="s">
        <v>116</v>
      </c>
      <c r="W132" s="71" t="s">
        <v>29</v>
      </c>
      <c r="X132" s="70" t="s">
        <v>29</v>
      </c>
      <c r="Y132" s="72" t="e">
        <f>#REF!-H132</f>
        <v>#REF!</v>
      </c>
      <c r="Z132" s="73" t="e">
        <f>#REF!-J132</f>
        <v>#REF!</v>
      </c>
      <c r="AA132" s="74" t="e">
        <f>#REF!-L132</f>
        <v>#REF!</v>
      </c>
      <c r="AB132" s="73" t="e">
        <f>#REF!-N132</f>
        <v>#REF!</v>
      </c>
      <c r="AC132" s="72" t="e">
        <f>(#REF!+#REF!)-S132</f>
        <v>#REF!</v>
      </c>
      <c r="AD132" s="50" t="e">
        <f>AC132/(#REF!+#REF!)*100</f>
        <v>#REF!</v>
      </c>
      <c r="AH132" s="33" t="s">
        <v>34</v>
      </c>
    </row>
    <row r="133" spans="1:34" s="69" customFormat="1" x14ac:dyDescent="0.3">
      <c r="A133" s="75">
        <v>129</v>
      </c>
      <c r="B133" s="34" t="s">
        <v>26</v>
      </c>
      <c r="C133" s="34" t="s">
        <v>244</v>
      </c>
      <c r="D133" s="35" t="s">
        <v>274</v>
      </c>
      <c r="E133" s="35" t="s">
        <v>29</v>
      </c>
      <c r="F133" s="36" t="s">
        <v>30</v>
      </c>
      <c r="G133" s="37"/>
      <c r="H133" s="38">
        <f t="shared" ref="H133:H196" si="8">O133+S133</f>
        <v>4721.3399999999992</v>
      </c>
      <c r="I133" s="39"/>
      <c r="J133" s="40">
        <v>4193.9399999999996</v>
      </c>
      <c r="K133" s="41">
        <f t="shared" si="7"/>
        <v>4193.9399999999996</v>
      </c>
      <c r="L133" s="42">
        <v>0</v>
      </c>
      <c r="M133" s="42"/>
      <c r="N133" s="40">
        <v>527.42999999999995</v>
      </c>
      <c r="O133" s="43">
        <f t="shared" ref="O133:O196" si="9">P133+Q133+R133</f>
        <v>527.4</v>
      </c>
      <c r="P133" s="40">
        <v>485</v>
      </c>
      <c r="Q133" s="40">
        <v>42.4</v>
      </c>
      <c r="R133" s="40"/>
      <c r="S133" s="76">
        <f t="shared" ref="S133:S196" si="10">J133+L133+I133</f>
        <v>4193.9399999999996</v>
      </c>
      <c r="T133" s="35" t="s">
        <v>275</v>
      </c>
      <c r="U133" s="34" t="s">
        <v>246</v>
      </c>
      <c r="V133" s="35" t="s">
        <v>274</v>
      </c>
      <c r="W133" s="35" t="s">
        <v>29</v>
      </c>
      <c r="X133" s="34" t="s">
        <v>29</v>
      </c>
      <c r="Y133" s="77" t="e">
        <f>#REF!-H133</f>
        <v>#REF!</v>
      </c>
      <c r="Z133" s="78" t="e">
        <f>#REF!-J133</f>
        <v>#REF!</v>
      </c>
      <c r="AA133" s="79" t="e">
        <f>#REF!-L133</f>
        <v>#REF!</v>
      </c>
      <c r="AB133" s="78" t="e">
        <f>#REF!-N133</f>
        <v>#REF!</v>
      </c>
      <c r="AC133" s="77" t="e">
        <f>(#REF!+#REF!)-S133</f>
        <v>#REF!</v>
      </c>
      <c r="AD133" s="80" t="e">
        <f>AC133/(#REF!+#REF!)*100</f>
        <v>#REF!</v>
      </c>
      <c r="AG133" s="81"/>
      <c r="AH133" s="33" t="s">
        <v>34</v>
      </c>
    </row>
    <row r="134" spans="1:34" s="69" customFormat="1" x14ac:dyDescent="0.3">
      <c r="A134" s="75">
        <v>130</v>
      </c>
      <c r="B134" s="34" t="s">
        <v>26</v>
      </c>
      <c r="C134" s="34" t="s">
        <v>244</v>
      </c>
      <c r="D134" s="35" t="s">
        <v>276</v>
      </c>
      <c r="E134" s="35" t="s">
        <v>29</v>
      </c>
      <c r="F134" s="36" t="s">
        <v>30</v>
      </c>
      <c r="G134" s="37"/>
      <c r="H134" s="38">
        <f t="shared" si="8"/>
        <v>6786.1</v>
      </c>
      <c r="I134" s="39"/>
      <c r="J134" s="40">
        <v>5342</v>
      </c>
      <c r="K134" s="41">
        <f t="shared" ref="K134:K197" si="11">I134+J134</f>
        <v>5342</v>
      </c>
      <c r="L134" s="42">
        <f>405+331.6</f>
        <v>736.6</v>
      </c>
      <c r="M134" s="42"/>
      <c r="N134" s="40">
        <v>666</v>
      </c>
      <c r="O134" s="43">
        <f t="shared" si="9"/>
        <v>707.5</v>
      </c>
      <c r="P134" s="40">
        <v>666</v>
      </c>
      <c r="Q134" s="40">
        <v>41.5</v>
      </c>
      <c r="R134" s="40"/>
      <c r="S134" s="76">
        <f t="shared" si="10"/>
        <v>6078.6</v>
      </c>
      <c r="T134" s="35" t="s">
        <v>277</v>
      </c>
      <c r="U134" s="34" t="s">
        <v>246</v>
      </c>
      <c r="V134" s="35" t="s">
        <v>276</v>
      </c>
      <c r="W134" s="35" t="s">
        <v>29</v>
      </c>
      <c r="X134" s="34" t="s">
        <v>29</v>
      </c>
      <c r="Y134" s="77" t="e">
        <f>#REF!-H134</f>
        <v>#REF!</v>
      </c>
      <c r="Z134" s="78" t="e">
        <f>#REF!-J134</f>
        <v>#REF!</v>
      </c>
      <c r="AA134" s="79" t="e">
        <f>#REF!-L134</f>
        <v>#REF!</v>
      </c>
      <c r="AB134" s="78" t="e">
        <f>#REF!-N134</f>
        <v>#REF!</v>
      </c>
      <c r="AC134" s="77" t="e">
        <f>(#REF!+#REF!)-S134</f>
        <v>#REF!</v>
      </c>
      <c r="AD134" s="80" t="e">
        <f>AC134/(#REF!+#REF!)*100</f>
        <v>#REF!</v>
      </c>
      <c r="AG134" s="81"/>
      <c r="AH134" s="33" t="s">
        <v>34</v>
      </c>
    </row>
    <row r="135" spans="1:34" s="69" customFormat="1" x14ac:dyDescent="0.3">
      <c r="A135" s="75">
        <v>131</v>
      </c>
      <c r="B135" s="34" t="s">
        <v>26</v>
      </c>
      <c r="C135" s="34" t="s">
        <v>244</v>
      </c>
      <c r="D135" s="35" t="s">
        <v>122</v>
      </c>
      <c r="E135" s="35" t="s">
        <v>29</v>
      </c>
      <c r="F135" s="36" t="s">
        <v>30</v>
      </c>
      <c r="G135" s="37"/>
      <c r="H135" s="38">
        <f t="shared" si="8"/>
        <v>5128.41</v>
      </c>
      <c r="I135" s="39"/>
      <c r="J135" s="40">
        <v>3496.41</v>
      </c>
      <c r="K135" s="41">
        <f t="shared" si="11"/>
        <v>3496.41</v>
      </c>
      <c r="L135" s="42">
        <v>1177.8</v>
      </c>
      <c r="M135" s="42"/>
      <c r="N135" s="40">
        <v>454.21</v>
      </c>
      <c r="O135" s="43">
        <f t="shared" si="9"/>
        <v>454.2</v>
      </c>
      <c r="P135" s="40">
        <v>427</v>
      </c>
      <c r="Q135" s="40">
        <v>27.2</v>
      </c>
      <c r="R135" s="40"/>
      <c r="S135" s="76">
        <f t="shared" si="10"/>
        <v>4674.21</v>
      </c>
      <c r="T135" s="35" t="s">
        <v>278</v>
      </c>
      <c r="U135" s="34" t="s">
        <v>246</v>
      </c>
      <c r="V135" s="35" t="s">
        <v>122</v>
      </c>
      <c r="W135" s="35" t="s">
        <v>29</v>
      </c>
      <c r="X135" s="34" t="s">
        <v>29</v>
      </c>
      <c r="Y135" s="77" t="e">
        <f>#REF!-H135</f>
        <v>#REF!</v>
      </c>
      <c r="Z135" s="78" t="e">
        <f>#REF!-J135</f>
        <v>#REF!</v>
      </c>
      <c r="AA135" s="79" t="e">
        <f>#REF!-L135</f>
        <v>#REF!</v>
      </c>
      <c r="AB135" s="78" t="e">
        <f>#REF!-N135</f>
        <v>#REF!</v>
      </c>
      <c r="AC135" s="77" t="e">
        <f>(#REF!+#REF!)-S135</f>
        <v>#REF!</v>
      </c>
      <c r="AD135" s="80" t="e">
        <f>AC135/(#REF!+#REF!)*100</f>
        <v>#REF!</v>
      </c>
      <c r="AG135" s="81"/>
      <c r="AH135" s="33" t="s">
        <v>34</v>
      </c>
    </row>
    <row r="136" spans="1:34" s="69" customFormat="1" x14ac:dyDescent="0.3">
      <c r="A136" s="101">
        <v>132</v>
      </c>
      <c r="B136" s="34" t="s">
        <v>26</v>
      </c>
      <c r="C136" s="34" t="s">
        <v>244</v>
      </c>
      <c r="D136" s="35" t="s">
        <v>126</v>
      </c>
      <c r="E136" s="35" t="s">
        <v>31</v>
      </c>
      <c r="F136" s="36" t="s">
        <v>30</v>
      </c>
      <c r="G136" s="37"/>
      <c r="H136" s="38">
        <f t="shared" si="8"/>
        <v>5369.42</v>
      </c>
      <c r="I136" s="39"/>
      <c r="J136" s="40">
        <v>3554.62</v>
      </c>
      <c r="K136" s="41">
        <f t="shared" si="11"/>
        <v>3554.62</v>
      </c>
      <c r="L136" s="42">
        <f>1408-5.3</f>
        <v>1402.7</v>
      </c>
      <c r="M136" s="42"/>
      <c r="N136" s="40">
        <v>423.21</v>
      </c>
      <c r="O136" s="43">
        <f t="shared" si="9"/>
        <v>412.1</v>
      </c>
      <c r="P136" s="40">
        <v>392</v>
      </c>
      <c r="Q136" s="40">
        <v>20.100000000000001</v>
      </c>
      <c r="R136" s="40"/>
      <c r="S136" s="76">
        <f t="shared" si="10"/>
        <v>4957.32</v>
      </c>
      <c r="T136" s="35" t="s">
        <v>279</v>
      </c>
      <c r="U136" s="34" t="s">
        <v>246</v>
      </c>
      <c r="V136" s="35" t="s">
        <v>126</v>
      </c>
      <c r="W136" s="35" t="s">
        <v>31</v>
      </c>
      <c r="X136" s="34" t="s">
        <v>29</v>
      </c>
      <c r="Y136" s="77" t="e">
        <f>#REF!-H136</f>
        <v>#REF!</v>
      </c>
      <c r="Z136" s="78" t="e">
        <f>#REF!-J136</f>
        <v>#REF!</v>
      </c>
      <c r="AA136" s="79" t="e">
        <f>#REF!-L136</f>
        <v>#REF!</v>
      </c>
      <c r="AB136" s="78" t="e">
        <f>#REF!-N136</f>
        <v>#REF!</v>
      </c>
      <c r="AC136" s="77" t="e">
        <f>(#REF!+#REF!)-S136</f>
        <v>#REF!</v>
      </c>
      <c r="AD136" s="80" t="e">
        <f>AC136/(#REF!+#REF!)*100</f>
        <v>#REF!</v>
      </c>
      <c r="AG136" s="81"/>
      <c r="AH136" s="33" t="s">
        <v>34</v>
      </c>
    </row>
    <row r="137" spans="1:34" s="69" customFormat="1" x14ac:dyDescent="0.3">
      <c r="A137" s="75">
        <v>133</v>
      </c>
      <c r="B137" s="34" t="s">
        <v>26</v>
      </c>
      <c r="C137" s="34" t="s">
        <v>244</v>
      </c>
      <c r="D137" s="35" t="s">
        <v>126</v>
      </c>
      <c r="E137" s="35" t="s">
        <v>161</v>
      </c>
      <c r="F137" s="36" t="s">
        <v>43</v>
      </c>
      <c r="G137" s="37"/>
      <c r="H137" s="38">
        <f t="shared" si="8"/>
        <v>4674.1100000000006</v>
      </c>
      <c r="I137" s="39"/>
      <c r="J137" s="40">
        <v>4172.01</v>
      </c>
      <c r="K137" s="41">
        <f t="shared" si="11"/>
        <v>4172.01</v>
      </c>
      <c r="L137" s="42">
        <v>0</v>
      </c>
      <c r="M137" s="42"/>
      <c r="N137" s="40">
        <v>483.18</v>
      </c>
      <c r="O137" s="43">
        <f t="shared" si="9"/>
        <v>502.1</v>
      </c>
      <c r="P137" s="40">
        <v>467</v>
      </c>
      <c r="Q137" s="40">
        <v>35.1</v>
      </c>
      <c r="R137" s="40"/>
      <c r="S137" s="76">
        <f t="shared" si="10"/>
        <v>4172.01</v>
      </c>
      <c r="T137" s="35" t="s">
        <v>280</v>
      </c>
      <c r="U137" s="34" t="s">
        <v>246</v>
      </c>
      <c r="V137" s="35" t="s">
        <v>126</v>
      </c>
      <c r="W137" s="35" t="s">
        <v>161</v>
      </c>
      <c r="X137" s="34" t="s">
        <v>29</v>
      </c>
      <c r="Y137" s="77" t="e">
        <f>#REF!-H137</f>
        <v>#REF!</v>
      </c>
      <c r="Z137" s="78" t="e">
        <f>#REF!-J137</f>
        <v>#REF!</v>
      </c>
      <c r="AA137" s="79" t="e">
        <f>#REF!-L137</f>
        <v>#REF!</v>
      </c>
      <c r="AB137" s="78" t="e">
        <f>#REF!-N137</f>
        <v>#REF!</v>
      </c>
      <c r="AC137" s="77" t="e">
        <f>(#REF!+#REF!)-S137</f>
        <v>#REF!</v>
      </c>
      <c r="AD137" s="80" t="e">
        <f>AC137/(#REF!+#REF!)*100</f>
        <v>#REF!</v>
      </c>
      <c r="AG137" s="81"/>
      <c r="AH137" s="33" t="s">
        <v>34</v>
      </c>
    </row>
    <row r="138" spans="1:34" s="69" customFormat="1" x14ac:dyDescent="0.3">
      <c r="A138" s="75">
        <v>134</v>
      </c>
      <c r="B138" s="34" t="s">
        <v>26</v>
      </c>
      <c r="C138" s="34" t="s">
        <v>244</v>
      </c>
      <c r="D138" s="35" t="s">
        <v>126</v>
      </c>
      <c r="E138" s="35" t="s">
        <v>241</v>
      </c>
      <c r="F138" s="36" t="s">
        <v>56</v>
      </c>
      <c r="G138" s="37"/>
      <c r="H138" s="38">
        <f t="shared" si="8"/>
        <v>4688.67</v>
      </c>
      <c r="I138" s="39"/>
      <c r="J138" s="40">
        <v>4192.37</v>
      </c>
      <c r="K138" s="41">
        <f t="shared" si="11"/>
        <v>4192.37</v>
      </c>
      <c r="L138" s="42">
        <v>0</v>
      </c>
      <c r="M138" s="42"/>
      <c r="N138" s="40">
        <v>456</v>
      </c>
      <c r="O138" s="43">
        <f t="shared" si="9"/>
        <v>496.3</v>
      </c>
      <c r="P138" s="40">
        <v>455</v>
      </c>
      <c r="Q138" s="40">
        <v>41.3</v>
      </c>
      <c r="R138" s="40"/>
      <c r="S138" s="76">
        <f t="shared" si="10"/>
        <v>4192.37</v>
      </c>
      <c r="T138" s="35" t="s">
        <v>281</v>
      </c>
      <c r="U138" s="34" t="s">
        <v>246</v>
      </c>
      <c r="V138" s="35" t="s">
        <v>126</v>
      </c>
      <c r="W138" s="35" t="s">
        <v>241</v>
      </c>
      <c r="X138" s="34" t="s">
        <v>29</v>
      </c>
      <c r="Y138" s="77" t="e">
        <f>#REF!-H138</f>
        <v>#REF!</v>
      </c>
      <c r="Z138" s="78" t="e">
        <f>#REF!-J138</f>
        <v>#REF!</v>
      </c>
      <c r="AA138" s="79" t="e">
        <f>#REF!-L138</f>
        <v>#REF!</v>
      </c>
      <c r="AB138" s="78" t="e">
        <f>#REF!-N138</f>
        <v>#REF!</v>
      </c>
      <c r="AC138" s="77" t="e">
        <f>(#REF!+#REF!)-S138</f>
        <v>#REF!</v>
      </c>
      <c r="AD138" s="80" t="e">
        <f>AC138/(#REF!+#REF!)*100</f>
        <v>#REF!</v>
      </c>
      <c r="AG138" s="81"/>
      <c r="AH138" s="33" t="s">
        <v>34</v>
      </c>
    </row>
    <row r="139" spans="1:34" s="69" customFormat="1" x14ac:dyDescent="0.3">
      <c r="A139" s="101">
        <v>135</v>
      </c>
      <c r="B139" s="34" t="s">
        <v>26</v>
      </c>
      <c r="C139" s="34" t="s">
        <v>244</v>
      </c>
      <c r="D139" s="35" t="s">
        <v>128</v>
      </c>
      <c r="E139" s="35" t="s">
        <v>31</v>
      </c>
      <c r="F139" s="36" t="s">
        <v>30</v>
      </c>
      <c r="G139" s="37"/>
      <c r="H139" s="38">
        <f t="shared" si="8"/>
        <v>10528.73</v>
      </c>
      <c r="I139" s="39"/>
      <c r="J139" s="40">
        <v>8944.23</v>
      </c>
      <c r="K139" s="41">
        <f t="shared" si="11"/>
        <v>8944.23</v>
      </c>
      <c r="L139" s="42">
        <f>58.7-58.7</f>
        <v>0</v>
      </c>
      <c r="M139" s="42"/>
      <c r="N139" s="40">
        <v>1718</v>
      </c>
      <c r="O139" s="43">
        <f t="shared" si="9"/>
        <v>1584.5</v>
      </c>
      <c r="P139" s="40">
        <v>1461</v>
      </c>
      <c r="Q139" s="40">
        <v>0</v>
      </c>
      <c r="R139" s="40">
        <v>123.5</v>
      </c>
      <c r="S139" s="76">
        <f t="shared" si="10"/>
        <v>8944.23</v>
      </c>
      <c r="T139" s="35" t="s">
        <v>282</v>
      </c>
      <c r="U139" s="34" t="s">
        <v>246</v>
      </c>
      <c r="V139" s="35" t="s">
        <v>128</v>
      </c>
      <c r="W139" s="35" t="s">
        <v>31</v>
      </c>
      <c r="X139" s="34" t="s">
        <v>29</v>
      </c>
      <c r="Y139" s="77" t="e">
        <f>#REF!-H139</f>
        <v>#REF!</v>
      </c>
      <c r="Z139" s="78" t="e">
        <f>#REF!-J139</f>
        <v>#REF!</v>
      </c>
      <c r="AA139" s="79" t="e">
        <f>#REF!-L139</f>
        <v>#REF!</v>
      </c>
      <c r="AB139" s="78" t="e">
        <f>#REF!-N139</f>
        <v>#REF!</v>
      </c>
      <c r="AC139" s="77" t="e">
        <f>(#REF!+#REF!)-S139</f>
        <v>#REF!</v>
      </c>
      <c r="AD139" s="80" t="e">
        <f>AC139/(#REF!+#REF!)*100</f>
        <v>#REF!</v>
      </c>
      <c r="AG139" s="81"/>
      <c r="AH139" s="33" t="s">
        <v>34</v>
      </c>
    </row>
    <row r="140" spans="1:34" s="69" customFormat="1" x14ac:dyDescent="0.3">
      <c r="A140" s="75">
        <v>136</v>
      </c>
      <c r="B140" s="34" t="s">
        <v>26</v>
      </c>
      <c r="C140" s="34" t="s">
        <v>244</v>
      </c>
      <c r="D140" s="35" t="s">
        <v>128</v>
      </c>
      <c r="E140" s="35" t="s">
        <v>241</v>
      </c>
      <c r="F140" s="36" t="s">
        <v>30</v>
      </c>
      <c r="G140" s="37"/>
      <c r="H140" s="38">
        <f t="shared" si="8"/>
        <v>21185.81</v>
      </c>
      <c r="I140" s="39"/>
      <c r="J140" s="40">
        <v>18004.75</v>
      </c>
      <c r="K140" s="41">
        <f t="shared" si="11"/>
        <v>18004.75</v>
      </c>
      <c r="L140" s="42">
        <v>561.05999999999995</v>
      </c>
      <c r="M140" s="42"/>
      <c r="N140" s="40">
        <v>2607.4499999999998</v>
      </c>
      <c r="O140" s="43">
        <f t="shared" si="9"/>
        <v>2620</v>
      </c>
      <c r="P140" s="40">
        <v>2356</v>
      </c>
      <c r="Q140" s="40">
        <v>264</v>
      </c>
      <c r="R140" s="40"/>
      <c r="S140" s="76">
        <f t="shared" si="10"/>
        <v>18565.810000000001</v>
      </c>
      <c r="T140" s="35" t="s">
        <v>283</v>
      </c>
      <c r="U140" s="34" t="s">
        <v>246</v>
      </c>
      <c r="V140" s="35" t="s">
        <v>128</v>
      </c>
      <c r="W140" s="35" t="s">
        <v>241</v>
      </c>
      <c r="X140" s="34" t="s">
        <v>29</v>
      </c>
      <c r="Y140" s="77" t="e">
        <f>#REF!-H140</f>
        <v>#REF!</v>
      </c>
      <c r="Z140" s="78" t="e">
        <f>#REF!-J140</f>
        <v>#REF!</v>
      </c>
      <c r="AA140" s="79" t="e">
        <f>#REF!-L140</f>
        <v>#REF!</v>
      </c>
      <c r="AB140" s="78" t="e">
        <f>#REF!-N140</f>
        <v>#REF!</v>
      </c>
      <c r="AC140" s="77" t="e">
        <f>(#REF!+#REF!)-S140</f>
        <v>#REF!</v>
      </c>
      <c r="AD140" s="80" t="e">
        <f>AC140/(#REF!+#REF!)*100</f>
        <v>#REF!</v>
      </c>
      <c r="AG140" s="81"/>
      <c r="AH140" s="33" t="s">
        <v>34</v>
      </c>
    </row>
    <row r="141" spans="1:34" s="69" customFormat="1" x14ac:dyDescent="0.3">
      <c r="A141" s="75">
        <v>137</v>
      </c>
      <c r="B141" s="34" t="s">
        <v>26</v>
      </c>
      <c r="C141" s="34" t="s">
        <v>244</v>
      </c>
      <c r="D141" s="35" t="s">
        <v>130</v>
      </c>
      <c r="E141" s="35" t="s">
        <v>161</v>
      </c>
      <c r="F141" s="36" t="s">
        <v>43</v>
      </c>
      <c r="G141" s="37"/>
      <c r="H141" s="38">
        <f t="shared" si="8"/>
        <v>3843.92</v>
      </c>
      <c r="I141" s="39">
        <v>0</v>
      </c>
      <c r="J141" s="40">
        <v>3459.58</v>
      </c>
      <c r="K141" s="41">
        <f t="shared" si="11"/>
        <v>3459.58</v>
      </c>
      <c r="L141" s="42">
        <v>0</v>
      </c>
      <c r="M141" s="42"/>
      <c r="N141" s="40">
        <v>384.34</v>
      </c>
      <c r="O141" s="43">
        <f t="shared" si="9"/>
        <v>384.34</v>
      </c>
      <c r="P141" s="40">
        <v>371</v>
      </c>
      <c r="Q141" s="40">
        <v>13.34</v>
      </c>
      <c r="R141" s="40"/>
      <c r="S141" s="76">
        <f t="shared" si="10"/>
        <v>3459.58</v>
      </c>
      <c r="T141" s="35" t="s">
        <v>284</v>
      </c>
      <c r="U141" s="34" t="s">
        <v>246</v>
      </c>
      <c r="V141" s="35" t="s">
        <v>130</v>
      </c>
      <c r="W141" s="35" t="s">
        <v>161</v>
      </c>
      <c r="X141" s="34" t="s">
        <v>29</v>
      </c>
      <c r="Y141" s="77" t="e">
        <f>#REF!-H141</f>
        <v>#REF!</v>
      </c>
      <c r="Z141" s="78" t="e">
        <f>#REF!-J141</f>
        <v>#REF!</v>
      </c>
      <c r="AA141" s="79" t="e">
        <f>#REF!-L141</f>
        <v>#REF!</v>
      </c>
      <c r="AB141" s="78" t="e">
        <f>#REF!-N141</f>
        <v>#REF!</v>
      </c>
      <c r="AC141" s="77" t="e">
        <f>(#REF!+#REF!)-S141</f>
        <v>#REF!</v>
      </c>
      <c r="AD141" s="80" t="e">
        <f>AC141/(#REF!+#REF!)*100</f>
        <v>#REF!</v>
      </c>
      <c r="AG141" s="81"/>
      <c r="AH141" s="33" t="s">
        <v>34</v>
      </c>
    </row>
    <row r="142" spans="1:34" s="69" customFormat="1" x14ac:dyDescent="0.3">
      <c r="A142" s="101">
        <v>138</v>
      </c>
      <c r="B142" s="34" t="s">
        <v>26</v>
      </c>
      <c r="C142" s="34" t="s">
        <v>244</v>
      </c>
      <c r="D142" s="35" t="s">
        <v>130</v>
      </c>
      <c r="E142" s="35" t="s">
        <v>69</v>
      </c>
      <c r="F142" s="36" t="s">
        <v>155</v>
      </c>
      <c r="G142" s="37" t="s">
        <v>31</v>
      </c>
      <c r="H142" s="38">
        <f t="shared" si="8"/>
        <v>3887.4500000000003</v>
      </c>
      <c r="I142" s="39"/>
      <c r="J142" s="40">
        <v>3476.15</v>
      </c>
      <c r="K142" s="41">
        <f t="shared" si="11"/>
        <v>3476.15</v>
      </c>
      <c r="L142" s="42">
        <v>0</v>
      </c>
      <c r="M142" s="42"/>
      <c r="N142" s="40">
        <v>390.1</v>
      </c>
      <c r="O142" s="43">
        <f t="shared" si="9"/>
        <v>411.3</v>
      </c>
      <c r="P142" s="40">
        <v>363.1</v>
      </c>
      <c r="Q142" s="40">
        <v>48.2</v>
      </c>
      <c r="R142" s="40"/>
      <c r="S142" s="76">
        <f t="shared" si="10"/>
        <v>3476.15</v>
      </c>
      <c r="T142" s="35" t="s">
        <v>285</v>
      </c>
      <c r="U142" s="34" t="s">
        <v>246</v>
      </c>
      <c r="V142" s="35" t="s">
        <v>130</v>
      </c>
      <c r="W142" s="35" t="s">
        <v>69</v>
      </c>
      <c r="X142" s="34" t="s">
        <v>29</v>
      </c>
      <c r="Y142" s="77" t="e">
        <f>#REF!-H142</f>
        <v>#REF!</v>
      </c>
      <c r="Z142" s="78" t="e">
        <f>#REF!-J142</f>
        <v>#REF!</v>
      </c>
      <c r="AA142" s="79" t="e">
        <f>#REF!-L142</f>
        <v>#REF!</v>
      </c>
      <c r="AB142" s="78" t="e">
        <f>#REF!-N142</f>
        <v>#REF!</v>
      </c>
      <c r="AC142" s="77" t="e">
        <f>(#REF!+#REF!)-S142</f>
        <v>#REF!</v>
      </c>
      <c r="AD142" s="80" t="e">
        <f>AC142/(#REF!+#REF!)*100</f>
        <v>#REF!</v>
      </c>
      <c r="AG142" s="81"/>
      <c r="AH142" s="33" t="s">
        <v>34</v>
      </c>
    </row>
    <row r="143" spans="1:34" s="69" customFormat="1" x14ac:dyDescent="0.3">
      <c r="A143" s="75">
        <v>139</v>
      </c>
      <c r="B143" s="34" t="s">
        <v>26</v>
      </c>
      <c r="C143" s="34" t="s">
        <v>244</v>
      </c>
      <c r="D143" s="35" t="s">
        <v>144</v>
      </c>
      <c r="E143" s="35" t="s">
        <v>31</v>
      </c>
      <c r="F143" s="36" t="s">
        <v>30</v>
      </c>
      <c r="G143" s="37" t="s">
        <v>31</v>
      </c>
      <c r="H143" s="38">
        <f t="shared" si="8"/>
        <v>27612.720000000001</v>
      </c>
      <c r="I143" s="39">
        <v>0</v>
      </c>
      <c r="J143" s="40">
        <v>24252.98</v>
      </c>
      <c r="K143" s="41">
        <f t="shared" si="11"/>
        <v>24252.98</v>
      </c>
      <c r="L143" s="42">
        <v>285</v>
      </c>
      <c r="M143" s="42"/>
      <c r="N143" s="40">
        <v>3166.19</v>
      </c>
      <c r="O143" s="43">
        <f t="shared" si="9"/>
        <v>3074.7400000000002</v>
      </c>
      <c r="P143" s="40">
        <v>2523</v>
      </c>
      <c r="Q143" s="40">
        <f>94.5+111.8+424.4+3.1-24.16-67.29</f>
        <v>542.35000000000014</v>
      </c>
      <c r="R143" s="40">
        <v>9.39</v>
      </c>
      <c r="S143" s="76">
        <f t="shared" si="10"/>
        <v>24537.98</v>
      </c>
      <c r="T143" s="35" t="s">
        <v>286</v>
      </c>
      <c r="U143" s="34" t="s">
        <v>246</v>
      </c>
      <c r="V143" s="35" t="s">
        <v>144</v>
      </c>
      <c r="W143" s="35" t="s">
        <v>31</v>
      </c>
      <c r="X143" s="34" t="s">
        <v>29</v>
      </c>
      <c r="Y143" s="77" t="e">
        <f>#REF!-H143</f>
        <v>#REF!</v>
      </c>
      <c r="Z143" s="78" t="e">
        <f>#REF!-J143</f>
        <v>#REF!</v>
      </c>
      <c r="AA143" s="79" t="e">
        <f>#REF!-L143</f>
        <v>#REF!</v>
      </c>
      <c r="AB143" s="78" t="e">
        <f>#REF!-N143</f>
        <v>#REF!</v>
      </c>
      <c r="AC143" s="77" t="e">
        <f>(#REF!+#REF!)-S143</f>
        <v>#REF!</v>
      </c>
      <c r="AD143" s="80" t="e">
        <f>AC143/(#REF!+#REF!)*100</f>
        <v>#REF!</v>
      </c>
      <c r="AG143" s="81"/>
      <c r="AH143" s="33" t="s">
        <v>34</v>
      </c>
    </row>
    <row r="144" spans="1:34" x14ac:dyDescent="0.3">
      <c r="A144" s="75">
        <v>140</v>
      </c>
      <c r="B144" s="34" t="s">
        <v>26</v>
      </c>
      <c r="C144" s="34" t="s">
        <v>287</v>
      </c>
      <c r="D144" s="35" t="s">
        <v>241</v>
      </c>
      <c r="E144" s="35" t="s">
        <v>29</v>
      </c>
      <c r="F144" s="36" t="s">
        <v>30</v>
      </c>
      <c r="G144" s="37" t="s">
        <v>31</v>
      </c>
      <c r="H144" s="38">
        <f t="shared" si="8"/>
        <v>3830.14</v>
      </c>
      <c r="I144" s="39">
        <v>70.040000000000006</v>
      </c>
      <c r="J144" s="40">
        <v>3058.4</v>
      </c>
      <c r="K144" s="41">
        <f t="shared" si="11"/>
        <v>3128.44</v>
      </c>
      <c r="L144" s="42">
        <v>249.5</v>
      </c>
      <c r="M144" s="42">
        <v>52.3</v>
      </c>
      <c r="N144" s="40">
        <v>267.56</v>
      </c>
      <c r="O144" s="43">
        <f t="shared" si="9"/>
        <v>452.2</v>
      </c>
      <c r="P144" s="41">
        <v>452.2</v>
      </c>
      <c r="Q144" s="40">
        <v>0</v>
      </c>
      <c r="R144" s="40"/>
      <c r="S144" s="44">
        <f t="shared" si="10"/>
        <v>3377.94</v>
      </c>
      <c r="T144" s="35" t="s">
        <v>288</v>
      </c>
      <c r="U144" s="45" t="s">
        <v>289</v>
      </c>
      <c r="V144" s="46" t="s">
        <v>241</v>
      </c>
      <c r="W144" s="46" t="s">
        <v>29</v>
      </c>
      <c r="X144" s="45" t="s">
        <v>29</v>
      </c>
      <c r="Y144" s="72" t="e">
        <f>#REF!-H144</f>
        <v>#REF!</v>
      </c>
      <c r="Z144" s="73" t="e">
        <f>#REF!-J144</f>
        <v>#REF!</v>
      </c>
      <c r="AA144" s="74" t="e">
        <f>#REF!-L144</f>
        <v>#REF!</v>
      </c>
      <c r="AB144" s="73" t="e">
        <f>#REF!-N144</f>
        <v>#REF!</v>
      </c>
      <c r="AC144" s="72" t="e">
        <f>(#REF!+#REF!)-S144</f>
        <v>#REF!</v>
      </c>
      <c r="AD144" s="50" t="e">
        <f>AC144/(#REF!+#REF!)*100</f>
        <v>#REF!</v>
      </c>
      <c r="AE144" s="7">
        <f>N144/418</f>
        <v>0.64009569377990427</v>
      </c>
      <c r="AF144" s="7">
        <v>418</v>
      </c>
      <c r="AH144" s="33" t="s">
        <v>34</v>
      </c>
    </row>
    <row r="145" spans="1:34" x14ac:dyDescent="0.3">
      <c r="A145" s="75">
        <v>141</v>
      </c>
      <c r="B145" s="34" t="s">
        <v>26</v>
      </c>
      <c r="C145" s="34" t="s">
        <v>287</v>
      </c>
      <c r="D145" s="35" t="s">
        <v>72</v>
      </c>
      <c r="E145" s="35" t="s">
        <v>29</v>
      </c>
      <c r="F145" s="36" t="s">
        <v>30</v>
      </c>
      <c r="G145" s="37" t="s">
        <v>31</v>
      </c>
      <c r="H145" s="38">
        <f t="shared" si="8"/>
        <v>4151.9900000000007</v>
      </c>
      <c r="I145" s="39">
        <v>66.28</v>
      </c>
      <c r="J145" s="40">
        <v>3547.71</v>
      </c>
      <c r="K145" s="41">
        <f t="shared" si="11"/>
        <v>3613.9900000000002</v>
      </c>
      <c r="L145" s="42">
        <v>25.9</v>
      </c>
      <c r="M145" s="42"/>
      <c r="N145" s="40">
        <v>522.9</v>
      </c>
      <c r="O145" s="43">
        <f t="shared" si="9"/>
        <v>512.1</v>
      </c>
      <c r="P145" s="40">
        <v>449.2</v>
      </c>
      <c r="Q145" s="40">
        <v>62.9</v>
      </c>
      <c r="R145" s="40"/>
      <c r="S145" s="44">
        <f t="shared" si="10"/>
        <v>3639.8900000000003</v>
      </c>
      <c r="T145" s="35" t="s">
        <v>290</v>
      </c>
      <c r="U145" s="70" t="s">
        <v>289</v>
      </c>
      <c r="V145" s="71" t="s">
        <v>72</v>
      </c>
      <c r="W145" s="71" t="s">
        <v>29</v>
      </c>
      <c r="X145" s="70" t="s">
        <v>29</v>
      </c>
      <c r="Y145" s="72" t="e">
        <f>#REF!-H145</f>
        <v>#REF!</v>
      </c>
      <c r="Z145" s="73" t="e">
        <f>#REF!-J145</f>
        <v>#REF!</v>
      </c>
      <c r="AA145" s="74" t="e">
        <f>#REF!-L145</f>
        <v>#REF!</v>
      </c>
      <c r="AB145" s="73" t="e">
        <f>#REF!-N145</f>
        <v>#REF!</v>
      </c>
      <c r="AC145" s="72" t="e">
        <f>(#REF!+#REF!)-S145</f>
        <v>#REF!</v>
      </c>
      <c r="AD145" s="50" t="e">
        <f>AC145/(#REF!+#REF!)*100</f>
        <v>#REF!</v>
      </c>
      <c r="AH145" s="33" t="s">
        <v>34</v>
      </c>
    </row>
    <row r="146" spans="1:34" s="69" customFormat="1" ht="21" x14ac:dyDescent="0.3">
      <c r="A146" s="101">
        <v>142</v>
      </c>
      <c r="B146" s="82" t="s">
        <v>26</v>
      </c>
      <c r="C146" s="82" t="s">
        <v>287</v>
      </c>
      <c r="D146" s="83" t="s">
        <v>92</v>
      </c>
      <c r="E146" s="83" t="s">
        <v>29</v>
      </c>
      <c r="F146" s="84" t="s">
        <v>30</v>
      </c>
      <c r="G146" s="85"/>
      <c r="H146" s="86">
        <f t="shared" si="8"/>
        <v>3374.22</v>
      </c>
      <c r="I146" s="87"/>
      <c r="J146" s="88">
        <v>2467.02</v>
      </c>
      <c r="K146" s="89">
        <f t="shared" si="11"/>
        <v>2467.02</v>
      </c>
      <c r="L146" s="90">
        <v>359.7</v>
      </c>
      <c r="M146" s="90"/>
      <c r="N146" s="88">
        <v>352</v>
      </c>
      <c r="O146" s="91">
        <f t="shared" si="9"/>
        <v>547.5</v>
      </c>
      <c r="P146" s="88">
        <v>352</v>
      </c>
      <c r="Q146" s="88">
        <v>25.6</v>
      </c>
      <c r="R146" s="88">
        <v>169.9</v>
      </c>
      <c r="S146" s="92">
        <f t="shared" si="10"/>
        <v>2826.72</v>
      </c>
      <c r="T146" s="93" t="s">
        <v>57</v>
      </c>
      <c r="U146" s="82" t="s">
        <v>289</v>
      </c>
      <c r="V146" s="83" t="s">
        <v>92</v>
      </c>
      <c r="W146" s="83" t="s">
        <v>29</v>
      </c>
      <c r="X146" s="82" t="s">
        <v>29</v>
      </c>
      <c r="Y146" s="94" t="e">
        <f>#REF!-H146</f>
        <v>#REF!</v>
      </c>
      <c r="Z146" s="95" t="e">
        <f>#REF!-J146</f>
        <v>#REF!</v>
      </c>
      <c r="AA146" s="96" t="e">
        <f>#REF!-L146</f>
        <v>#REF!</v>
      </c>
      <c r="AB146" s="95" t="e">
        <f>#REF!-N146</f>
        <v>#REF!</v>
      </c>
      <c r="AC146" s="94" t="e">
        <f>(#REF!+#REF!)-S146</f>
        <v>#REF!</v>
      </c>
      <c r="AD146" s="97" t="e">
        <f>AC146/(#REF!+#REF!)*100</f>
        <v>#REF!</v>
      </c>
      <c r="AE146" s="98"/>
      <c r="AF146" s="98"/>
      <c r="AG146" s="99"/>
      <c r="AH146" s="100" t="s">
        <v>95</v>
      </c>
    </row>
    <row r="147" spans="1:34" x14ac:dyDescent="0.3">
      <c r="A147" s="75">
        <v>143</v>
      </c>
      <c r="B147" s="34" t="s">
        <v>26</v>
      </c>
      <c r="C147" s="34" t="s">
        <v>287</v>
      </c>
      <c r="D147" s="35" t="s">
        <v>94</v>
      </c>
      <c r="E147" s="35" t="s">
        <v>29</v>
      </c>
      <c r="F147" s="36" t="s">
        <v>30</v>
      </c>
      <c r="G147" s="37" t="s">
        <v>31</v>
      </c>
      <c r="H147" s="38">
        <f t="shared" si="8"/>
        <v>4505.7700000000004</v>
      </c>
      <c r="I147" s="39"/>
      <c r="J147" s="40">
        <f>3660.15+0.02</f>
        <v>3660.17</v>
      </c>
      <c r="K147" s="41">
        <f t="shared" si="11"/>
        <v>3660.17</v>
      </c>
      <c r="L147" s="42">
        <v>57.8</v>
      </c>
      <c r="M147" s="42"/>
      <c r="N147" s="40">
        <v>789</v>
      </c>
      <c r="O147" s="43">
        <f t="shared" si="9"/>
        <v>787.8</v>
      </c>
      <c r="P147" s="40">
        <v>629</v>
      </c>
      <c r="Q147" s="40">
        <v>158.80000000000001</v>
      </c>
      <c r="R147" s="40"/>
      <c r="S147" s="44">
        <f t="shared" si="10"/>
        <v>3717.9700000000003</v>
      </c>
      <c r="T147" s="35" t="s">
        <v>291</v>
      </c>
      <c r="U147" s="70" t="s">
        <v>289</v>
      </c>
      <c r="V147" s="71" t="s">
        <v>94</v>
      </c>
      <c r="W147" s="71" t="s">
        <v>29</v>
      </c>
      <c r="X147" s="70" t="s">
        <v>29</v>
      </c>
      <c r="Y147" s="72" t="e">
        <f>#REF!-H147</f>
        <v>#REF!</v>
      </c>
      <c r="Z147" s="73" t="e">
        <f>#REF!-J147</f>
        <v>#REF!</v>
      </c>
      <c r="AA147" s="74" t="e">
        <f>#REF!-L147</f>
        <v>#REF!</v>
      </c>
      <c r="AB147" s="73" t="e">
        <f>#REF!-N147</f>
        <v>#REF!</v>
      </c>
      <c r="AC147" s="72" t="e">
        <f>(#REF!+#REF!)-S147</f>
        <v>#REF!</v>
      </c>
      <c r="AD147" s="50" t="e">
        <f>AC147/(#REF!+#REF!)*100</f>
        <v>#REF!</v>
      </c>
      <c r="AH147" s="33" t="s">
        <v>34</v>
      </c>
    </row>
    <row r="148" spans="1:34" x14ac:dyDescent="0.3">
      <c r="A148" s="75">
        <v>144</v>
      </c>
      <c r="B148" s="34" t="s">
        <v>26</v>
      </c>
      <c r="C148" s="34" t="s">
        <v>287</v>
      </c>
      <c r="D148" s="35" t="s">
        <v>80</v>
      </c>
      <c r="E148" s="35" t="s">
        <v>29</v>
      </c>
      <c r="F148" s="36" t="s">
        <v>30</v>
      </c>
      <c r="G148" s="37" t="s">
        <v>31</v>
      </c>
      <c r="H148" s="38">
        <f t="shared" si="8"/>
        <v>4066.65</v>
      </c>
      <c r="I148" s="39">
        <v>52.7</v>
      </c>
      <c r="J148" s="40">
        <v>3198.65</v>
      </c>
      <c r="K148" s="41">
        <f t="shared" si="11"/>
        <v>3251.35</v>
      </c>
      <c r="L148" s="42">
        <v>321.3</v>
      </c>
      <c r="M148" s="42"/>
      <c r="N148" s="40">
        <v>494</v>
      </c>
      <c r="O148" s="43">
        <f t="shared" si="9"/>
        <v>494</v>
      </c>
      <c r="P148" s="40">
        <v>494</v>
      </c>
      <c r="Q148" s="40">
        <v>0</v>
      </c>
      <c r="R148" s="40"/>
      <c r="S148" s="44">
        <f t="shared" si="10"/>
        <v>3572.65</v>
      </c>
      <c r="T148" s="35" t="s">
        <v>292</v>
      </c>
      <c r="U148" s="70" t="s">
        <v>289</v>
      </c>
      <c r="V148" s="71" t="s">
        <v>80</v>
      </c>
      <c r="W148" s="71" t="s">
        <v>29</v>
      </c>
      <c r="X148" s="70" t="s">
        <v>29</v>
      </c>
      <c r="Y148" s="72" t="e">
        <f>#REF!-H148</f>
        <v>#REF!</v>
      </c>
      <c r="Z148" s="73" t="e">
        <f>#REF!-J148</f>
        <v>#REF!</v>
      </c>
      <c r="AA148" s="74" t="e">
        <f>#REF!-L148</f>
        <v>#REF!</v>
      </c>
      <c r="AB148" s="73" t="e">
        <f>#REF!-N148</f>
        <v>#REF!</v>
      </c>
      <c r="AC148" s="72" t="e">
        <f>(#REF!+#REF!)-S148</f>
        <v>#REF!</v>
      </c>
      <c r="AD148" s="50" t="e">
        <f>AC148/(#REF!+#REF!)*100</f>
        <v>#REF!</v>
      </c>
      <c r="AH148" s="33" t="s">
        <v>34</v>
      </c>
    </row>
    <row r="149" spans="1:34" s="69" customFormat="1" ht="21" x14ac:dyDescent="0.3">
      <c r="A149" s="101">
        <v>145</v>
      </c>
      <c r="B149" s="82" t="s">
        <v>26</v>
      </c>
      <c r="C149" s="82" t="s">
        <v>287</v>
      </c>
      <c r="D149" s="83" t="s">
        <v>83</v>
      </c>
      <c r="E149" s="83" t="s">
        <v>29</v>
      </c>
      <c r="F149" s="84" t="s">
        <v>30</v>
      </c>
      <c r="G149" s="85"/>
      <c r="H149" s="86">
        <f t="shared" si="8"/>
        <v>1618.8000000000002</v>
      </c>
      <c r="I149" s="87"/>
      <c r="J149" s="88">
        <v>1144.5</v>
      </c>
      <c r="K149" s="89">
        <f t="shared" si="11"/>
        <v>1144.5</v>
      </c>
      <c r="L149" s="90">
        <v>148.19999999999999</v>
      </c>
      <c r="M149" s="90"/>
      <c r="N149" s="88">
        <v>241.6</v>
      </c>
      <c r="O149" s="91">
        <f>P149+Q149+R149</f>
        <v>326.10000000000002</v>
      </c>
      <c r="P149" s="88">
        <v>206</v>
      </c>
      <c r="Q149" s="88">
        <v>120.1</v>
      </c>
      <c r="R149" s="88"/>
      <c r="S149" s="92">
        <f t="shared" si="10"/>
        <v>1292.7</v>
      </c>
      <c r="T149" s="93" t="s">
        <v>57</v>
      </c>
      <c r="U149" s="82" t="s">
        <v>289</v>
      </c>
      <c r="V149" s="83" t="s">
        <v>83</v>
      </c>
      <c r="W149" s="83" t="s">
        <v>29</v>
      </c>
      <c r="X149" s="82" t="s">
        <v>29</v>
      </c>
      <c r="Y149" s="94" t="e">
        <f>#REF!-H149</f>
        <v>#REF!</v>
      </c>
      <c r="Z149" s="95" t="e">
        <f>#REF!-J149</f>
        <v>#REF!</v>
      </c>
      <c r="AA149" s="96" t="e">
        <f>#REF!-L149</f>
        <v>#REF!</v>
      </c>
      <c r="AB149" s="95" t="e">
        <f>#REF!-N149</f>
        <v>#REF!</v>
      </c>
      <c r="AC149" s="94" t="e">
        <f>(#REF!+#REF!)-S149</f>
        <v>#REF!</v>
      </c>
      <c r="AD149" s="97" t="e">
        <f>AC149/(#REF!+#REF!)*100</f>
        <v>#REF!</v>
      </c>
      <c r="AE149" s="98"/>
      <c r="AF149" s="98"/>
      <c r="AG149" s="99"/>
      <c r="AH149" s="100" t="s">
        <v>249</v>
      </c>
    </row>
    <row r="150" spans="1:34" s="69" customFormat="1" x14ac:dyDescent="0.3">
      <c r="A150" s="75">
        <v>146</v>
      </c>
      <c r="B150" s="34" t="s">
        <v>26</v>
      </c>
      <c r="C150" s="34" t="s">
        <v>287</v>
      </c>
      <c r="D150" s="35" t="s">
        <v>195</v>
      </c>
      <c r="E150" s="35" t="s">
        <v>29</v>
      </c>
      <c r="F150" s="36" t="s">
        <v>30</v>
      </c>
      <c r="G150" s="37" t="s">
        <v>31</v>
      </c>
      <c r="H150" s="38">
        <f t="shared" si="8"/>
        <v>3988.36</v>
      </c>
      <c r="I150" s="39"/>
      <c r="J150" s="40">
        <v>3440.96</v>
      </c>
      <c r="K150" s="41">
        <f t="shared" si="11"/>
        <v>3440.96</v>
      </c>
      <c r="L150" s="42">
        <v>142.4</v>
      </c>
      <c r="M150" s="42"/>
      <c r="N150" s="40">
        <v>405</v>
      </c>
      <c r="O150" s="43">
        <f>P150+Q150+R150</f>
        <v>405</v>
      </c>
      <c r="P150" s="40">
        <v>405</v>
      </c>
      <c r="Q150" s="40"/>
      <c r="R150" s="40"/>
      <c r="S150" s="76">
        <f t="shared" si="10"/>
        <v>3583.36</v>
      </c>
      <c r="T150" s="35" t="s">
        <v>293</v>
      </c>
      <c r="U150" s="34" t="s">
        <v>289</v>
      </c>
      <c r="V150" s="35" t="s">
        <v>195</v>
      </c>
      <c r="W150" s="35" t="s">
        <v>29</v>
      </c>
      <c r="X150" s="34" t="s">
        <v>29</v>
      </c>
      <c r="Y150" s="77" t="e">
        <f>#REF!-H150</f>
        <v>#REF!</v>
      </c>
      <c r="Z150" s="78" t="e">
        <f>#REF!-J150</f>
        <v>#REF!</v>
      </c>
      <c r="AA150" s="79" t="e">
        <f>#REF!-L150</f>
        <v>#REF!</v>
      </c>
      <c r="AB150" s="78" t="e">
        <f>#REF!-N150</f>
        <v>#REF!</v>
      </c>
      <c r="AC150" s="77" t="e">
        <f>(#REF!+#REF!)-S150</f>
        <v>#REF!</v>
      </c>
      <c r="AD150" s="80" t="e">
        <f>AC150/(#REF!+#REF!)*100</f>
        <v>#REF!</v>
      </c>
      <c r="AG150" s="81"/>
      <c r="AH150" s="33" t="s">
        <v>34</v>
      </c>
    </row>
    <row r="151" spans="1:34" s="69" customFormat="1" x14ac:dyDescent="0.3">
      <c r="A151" s="75">
        <v>147</v>
      </c>
      <c r="B151" s="34" t="s">
        <v>26</v>
      </c>
      <c r="C151" s="34" t="s">
        <v>287</v>
      </c>
      <c r="D151" s="35" t="s">
        <v>294</v>
      </c>
      <c r="E151" s="35" t="s">
        <v>29</v>
      </c>
      <c r="F151" s="36" t="s">
        <v>30</v>
      </c>
      <c r="G151" s="37" t="s">
        <v>31</v>
      </c>
      <c r="H151" s="38">
        <f t="shared" si="8"/>
        <v>4759.8900000000003</v>
      </c>
      <c r="I151" s="39"/>
      <c r="J151" s="40">
        <v>4017.29</v>
      </c>
      <c r="K151" s="41">
        <f t="shared" si="11"/>
        <v>4017.29</v>
      </c>
      <c r="L151" s="42">
        <v>0</v>
      </c>
      <c r="M151" s="42"/>
      <c r="N151" s="40">
        <v>742.62</v>
      </c>
      <c r="O151" s="43">
        <f t="shared" si="9"/>
        <v>742.6</v>
      </c>
      <c r="P151" s="40">
        <v>720</v>
      </c>
      <c r="Q151" s="40">
        <v>22.6</v>
      </c>
      <c r="R151" s="40"/>
      <c r="S151" s="76">
        <f t="shared" si="10"/>
        <v>4017.29</v>
      </c>
      <c r="T151" s="35" t="s">
        <v>295</v>
      </c>
      <c r="U151" s="34" t="s">
        <v>289</v>
      </c>
      <c r="V151" s="35" t="s">
        <v>294</v>
      </c>
      <c r="W151" s="35" t="s">
        <v>29</v>
      </c>
      <c r="X151" s="34" t="s">
        <v>29</v>
      </c>
      <c r="Y151" s="77" t="e">
        <f>#REF!-H151</f>
        <v>#REF!</v>
      </c>
      <c r="Z151" s="78" t="e">
        <f>#REF!-J151</f>
        <v>#REF!</v>
      </c>
      <c r="AA151" s="79" t="e">
        <f>#REF!-L151</f>
        <v>#REF!</v>
      </c>
      <c r="AB151" s="78" t="e">
        <f>#REF!-N151</f>
        <v>#REF!</v>
      </c>
      <c r="AC151" s="77" t="e">
        <f>(#REF!+#REF!)-S151</f>
        <v>#REF!</v>
      </c>
      <c r="AD151" s="80" t="e">
        <f>AC151/(#REF!+#REF!)*100</f>
        <v>#REF!</v>
      </c>
      <c r="AG151" s="81"/>
      <c r="AH151" s="33" t="s">
        <v>34</v>
      </c>
    </row>
    <row r="152" spans="1:34" s="69" customFormat="1" x14ac:dyDescent="0.3">
      <c r="A152" s="101">
        <v>148</v>
      </c>
      <c r="B152" s="34" t="s">
        <v>26</v>
      </c>
      <c r="C152" s="34" t="s">
        <v>287</v>
      </c>
      <c r="D152" s="35" t="s">
        <v>109</v>
      </c>
      <c r="E152" s="35" t="s">
        <v>29</v>
      </c>
      <c r="F152" s="36" t="s">
        <v>30</v>
      </c>
      <c r="G152" s="37" t="s">
        <v>31</v>
      </c>
      <c r="H152" s="38">
        <f t="shared" si="8"/>
        <v>2008.25</v>
      </c>
      <c r="I152" s="39"/>
      <c r="J152" s="40">
        <v>1750.55</v>
      </c>
      <c r="K152" s="41">
        <f t="shared" si="11"/>
        <v>1750.55</v>
      </c>
      <c r="L152" s="42">
        <v>21.7</v>
      </c>
      <c r="M152" s="42">
        <v>21.7</v>
      </c>
      <c r="N152" s="42">
        <v>262.2</v>
      </c>
      <c r="O152" s="43">
        <f t="shared" si="9"/>
        <v>236</v>
      </c>
      <c r="P152" s="42">
        <v>236</v>
      </c>
      <c r="Q152" s="42"/>
      <c r="R152" s="42"/>
      <c r="S152" s="76">
        <f t="shared" si="10"/>
        <v>1772.25</v>
      </c>
      <c r="T152" s="35" t="s">
        <v>296</v>
      </c>
      <c r="U152" s="34" t="s">
        <v>289</v>
      </c>
      <c r="V152" s="35" t="s">
        <v>109</v>
      </c>
      <c r="W152" s="35" t="s">
        <v>29</v>
      </c>
      <c r="X152" s="34" t="s">
        <v>29</v>
      </c>
      <c r="Y152" s="77" t="e">
        <f>#REF!-H152</f>
        <v>#REF!</v>
      </c>
      <c r="Z152" s="78" t="e">
        <f>#REF!-J152</f>
        <v>#REF!</v>
      </c>
      <c r="AA152" s="79" t="e">
        <f>#REF!-L152</f>
        <v>#REF!</v>
      </c>
      <c r="AB152" s="78" t="e">
        <f>#REF!-N152</f>
        <v>#REF!</v>
      </c>
      <c r="AC152" s="77" t="e">
        <f>(#REF!+#REF!)-S152</f>
        <v>#REF!</v>
      </c>
      <c r="AD152" s="80" t="e">
        <f>AC152/(#REF!+#REF!)*100</f>
        <v>#REF!</v>
      </c>
      <c r="AG152" s="81"/>
      <c r="AH152" s="33" t="s">
        <v>34</v>
      </c>
    </row>
    <row r="153" spans="1:34" s="69" customFormat="1" x14ac:dyDescent="0.3">
      <c r="A153" s="75">
        <v>149</v>
      </c>
      <c r="B153" s="34" t="s">
        <v>26</v>
      </c>
      <c r="C153" s="34" t="s">
        <v>287</v>
      </c>
      <c r="D153" s="35" t="s">
        <v>109</v>
      </c>
      <c r="E153" s="35" t="s">
        <v>29</v>
      </c>
      <c r="F153" s="36" t="s">
        <v>56</v>
      </c>
      <c r="G153" s="37" t="s">
        <v>31</v>
      </c>
      <c r="H153" s="38">
        <f t="shared" si="8"/>
        <v>514</v>
      </c>
      <c r="I153" s="39"/>
      <c r="J153" s="40">
        <v>361.5</v>
      </c>
      <c r="K153" s="41">
        <f t="shared" si="11"/>
        <v>361.5</v>
      </c>
      <c r="L153" s="42">
        <v>48.5</v>
      </c>
      <c r="M153" s="42">
        <v>48.5</v>
      </c>
      <c r="N153" s="42">
        <v>153.9</v>
      </c>
      <c r="O153" s="43">
        <f t="shared" si="9"/>
        <v>104</v>
      </c>
      <c r="P153" s="42">
        <v>104</v>
      </c>
      <c r="Q153" s="42"/>
      <c r="R153" s="42"/>
      <c r="S153" s="76">
        <f t="shared" si="10"/>
        <v>410</v>
      </c>
      <c r="T153" s="35" t="s">
        <v>297</v>
      </c>
      <c r="U153" s="34" t="s">
        <v>289</v>
      </c>
      <c r="V153" s="35" t="s">
        <v>109</v>
      </c>
      <c r="W153" s="35" t="s">
        <v>29</v>
      </c>
      <c r="X153" s="34" t="s">
        <v>29</v>
      </c>
      <c r="Y153" s="77" t="e">
        <f>#REF!-H153</f>
        <v>#REF!</v>
      </c>
      <c r="Z153" s="78" t="e">
        <f>#REF!-J153</f>
        <v>#REF!</v>
      </c>
      <c r="AA153" s="79" t="e">
        <f>#REF!-L153</f>
        <v>#REF!</v>
      </c>
      <c r="AB153" s="78" t="e">
        <f>#REF!-N153</f>
        <v>#REF!</v>
      </c>
      <c r="AC153" s="77" t="e">
        <f>(#REF!+#REF!)-S153</f>
        <v>#REF!</v>
      </c>
      <c r="AD153" s="80" t="e">
        <f>AC153/(#REF!+#REF!)*100</f>
        <v>#REF!</v>
      </c>
      <c r="AG153" s="81"/>
      <c r="AH153" s="33" t="s">
        <v>34</v>
      </c>
    </row>
    <row r="154" spans="1:34" s="69" customFormat="1" x14ac:dyDescent="0.3">
      <c r="A154" s="75">
        <v>150</v>
      </c>
      <c r="B154" s="34" t="s">
        <v>26</v>
      </c>
      <c r="C154" s="34" t="s">
        <v>287</v>
      </c>
      <c r="D154" s="35" t="s">
        <v>202</v>
      </c>
      <c r="E154" s="35" t="s">
        <v>29</v>
      </c>
      <c r="F154" s="36" t="s">
        <v>30</v>
      </c>
      <c r="G154" s="37" t="s">
        <v>31</v>
      </c>
      <c r="H154" s="38">
        <f t="shared" si="8"/>
        <v>3788</v>
      </c>
      <c r="I154" s="39"/>
      <c r="J154" s="40">
        <v>3455.86</v>
      </c>
      <c r="K154" s="41">
        <f t="shared" si="11"/>
        <v>3455.86</v>
      </c>
      <c r="L154" s="42">
        <v>0</v>
      </c>
      <c r="M154" s="42"/>
      <c r="N154" s="40">
        <v>450.14</v>
      </c>
      <c r="O154" s="43">
        <f t="shared" si="9"/>
        <v>332.14</v>
      </c>
      <c r="P154" s="40">
        <v>300</v>
      </c>
      <c r="Q154" s="40">
        <v>32.14</v>
      </c>
      <c r="R154" s="40"/>
      <c r="S154" s="76">
        <f t="shared" si="10"/>
        <v>3455.86</v>
      </c>
      <c r="T154" s="35" t="s">
        <v>298</v>
      </c>
      <c r="U154" s="34" t="s">
        <v>289</v>
      </c>
      <c r="V154" s="35" t="s">
        <v>202</v>
      </c>
      <c r="W154" s="35" t="s">
        <v>29</v>
      </c>
      <c r="X154" s="34" t="s">
        <v>29</v>
      </c>
      <c r="Y154" s="77" t="e">
        <f>#REF!-H154</f>
        <v>#REF!</v>
      </c>
      <c r="Z154" s="78" t="e">
        <f>#REF!-J154</f>
        <v>#REF!</v>
      </c>
      <c r="AA154" s="79" t="e">
        <f>#REF!-L154</f>
        <v>#REF!</v>
      </c>
      <c r="AB154" s="78" t="e">
        <f>#REF!-N154</f>
        <v>#REF!</v>
      </c>
      <c r="AC154" s="77" t="e">
        <f>(#REF!+#REF!)-S154</f>
        <v>#REF!</v>
      </c>
      <c r="AD154" s="80" t="e">
        <f>AC154/(#REF!+#REF!)*100</f>
        <v>#REF!</v>
      </c>
      <c r="AG154" s="81"/>
      <c r="AH154" s="33" t="s">
        <v>34</v>
      </c>
    </row>
    <row r="155" spans="1:34" s="69" customFormat="1" x14ac:dyDescent="0.3">
      <c r="A155" s="75">
        <v>151</v>
      </c>
      <c r="B155" s="34" t="s">
        <v>26</v>
      </c>
      <c r="C155" s="34" t="s">
        <v>287</v>
      </c>
      <c r="D155" s="35" t="s">
        <v>116</v>
      </c>
      <c r="E155" s="35" t="s">
        <v>29</v>
      </c>
      <c r="F155" s="36" t="s">
        <v>30</v>
      </c>
      <c r="G155" s="37" t="s">
        <v>31</v>
      </c>
      <c r="H155" s="38">
        <f t="shared" si="8"/>
        <v>3114.9</v>
      </c>
      <c r="I155" s="39"/>
      <c r="J155" s="40">
        <v>2373.5</v>
      </c>
      <c r="K155" s="41">
        <f t="shared" si="11"/>
        <v>2373.5</v>
      </c>
      <c r="L155" s="42">
        <v>413.4</v>
      </c>
      <c r="M155" s="42"/>
      <c r="N155" s="40">
        <v>394</v>
      </c>
      <c r="O155" s="43">
        <f t="shared" si="9"/>
        <v>328</v>
      </c>
      <c r="P155" s="40">
        <v>295.8</v>
      </c>
      <c r="Q155" s="40">
        <f>32.2-16.9</f>
        <v>15.300000000000004</v>
      </c>
      <c r="R155" s="40">
        <v>16.899999999999999</v>
      </c>
      <c r="S155" s="76">
        <f t="shared" si="10"/>
        <v>2786.9</v>
      </c>
      <c r="T155" s="35" t="s">
        <v>299</v>
      </c>
      <c r="U155" s="34" t="s">
        <v>289</v>
      </c>
      <c r="V155" s="35" t="s">
        <v>116</v>
      </c>
      <c r="W155" s="35" t="s">
        <v>29</v>
      </c>
      <c r="X155" s="34" t="s">
        <v>29</v>
      </c>
      <c r="Y155" s="77" t="e">
        <f>#REF!-H155</f>
        <v>#REF!</v>
      </c>
      <c r="Z155" s="78" t="e">
        <f>#REF!-J155</f>
        <v>#REF!</v>
      </c>
      <c r="AA155" s="79" t="e">
        <f>#REF!-L155</f>
        <v>#REF!</v>
      </c>
      <c r="AB155" s="78" t="e">
        <f>#REF!-N155</f>
        <v>#REF!</v>
      </c>
      <c r="AC155" s="77" t="e">
        <f>(#REF!+#REF!)-S155</f>
        <v>#REF!</v>
      </c>
      <c r="AD155" s="80" t="e">
        <f>AC155/(#REF!+#REF!)*100</f>
        <v>#REF!</v>
      </c>
      <c r="AG155" s="81"/>
      <c r="AH155" s="33" t="s">
        <v>34</v>
      </c>
    </row>
    <row r="156" spans="1:34" s="69" customFormat="1" x14ac:dyDescent="0.3">
      <c r="A156" s="101">
        <v>152</v>
      </c>
      <c r="B156" s="34" t="s">
        <v>26</v>
      </c>
      <c r="C156" s="34" t="s">
        <v>287</v>
      </c>
      <c r="D156" s="35" t="s">
        <v>274</v>
      </c>
      <c r="E156" s="35" t="s">
        <v>29</v>
      </c>
      <c r="F156" s="36" t="s">
        <v>30</v>
      </c>
      <c r="G156" s="37" t="s">
        <v>31</v>
      </c>
      <c r="H156" s="38">
        <f t="shared" si="8"/>
        <v>4412.6100000000006</v>
      </c>
      <c r="I156" s="39"/>
      <c r="J156" s="40">
        <v>3413.61</v>
      </c>
      <c r="K156" s="41">
        <f t="shared" si="11"/>
        <v>3413.61</v>
      </c>
      <c r="L156" s="42">
        <v>414.9</v>
      </c>
      <c r="M156" s="42"/>
      <c r="N156" s="40">
        <v>494</v>
      </c>
      <c r="O156" s="43">
        <f t="shared" si="9"/>
        <v>584.09999999999991</v>
      </c>
      <c r="P156" s="40">
        <v>535.29999999999995</v>
      </c>
      <c r="Q156" s="40">
        <f>32.4+16.4</f>
        <v>48.8</v>
      </c>
      <c r="R156" s="40"/>
      <c r="S156" s="76">
        <f t="shared" si="10"/>
        <v>3828.51</v>
      </c>
      <c r="T156" s="35" t="s">
        <v>300</v>
      </c>
      <c r="U156" s="34" t="s">
        <v>289</v>
      </c>
      <c r="V156" s="35" t="s">
        <v>274</v>
      </c>
      <c r="W156" s="35" t="s">
        <v>29</v>
      </c>
      <c r="X156" s="34" t="s">
        <v>29</v>
      </c>
      <c r="Y156" s="77" t="e">
        <f>#REF!-H156</f>
        <v>#REF!</v>
      </c>
      <c r="Z156" s="78" t="e">
        <f>#REF!-J156</f>
        <v>#REF!</v>
      </c>
      <c r="AA156" s="79" t="e">
        <f>#REF!-L156</f>
        <v>#REF!</v>
      </c>
      <c r="AB156" s="78" t="e">
        <f>#REF!-N156</f>
        <v>#REF!</v>
      </c>
      <c r="AC156" s="77" t="e">
        <f>(#REF!+#REF!)-S156</f>
        <v>#REF!</v>
      </c>
      <c r="AD156" s="80" t="e">
        <f>AC156/(#REF!+#REF!)*100</f>
        <v>#REF!</v>
      </c>
      <c r="AG156" s="81"/>
      <c r="AH156" s="33" t="s">
        <v>34</v>
      </c>
    </row>
    <row r="157" spans="1:34" s="69" customFormat="1" ht="21" x14ac:dyDescent="0.3">
      <c r="A157" s="75">
        <v>153</v>
      </c>
      <c r="B157" s="82" t="s">
        <v>26</v>
      </c>
      <c r="C157" s="82" t="s">
        <v>287</v>
      </c>
      <c r="D157" s="83" t="s">
        <v>122</v>
      </c>
      <c r="E157" s="83" t="s">
        <v>29</v>
      </c>
      <c r="F157" s="84" t="s">
        <v>30</v>
      </c>
      <c r="G157" s="85" t="s">
        <v>31</v>
      </c>
      <c r="H157" s="86">
        <f t="shared" si="8"/>
        <v>4621.1899999999996</v>
      </c>
      <c r="I157" s="87"/>
      <c r="J157" s="88">
        <v>3986.79</v>
      </c>
      <c r="K157" s="89">
        <f t="shared" si="11"/>
        <v>3986.79</v>
      </c>
      <c r="L157" s="90">
        <v>0</v>
      </c>
      <c r="M157" s="90"/>
      <c r="N157" s="88">
        <v>418.47</v>
      </c>
      <c r="O157" s="91">
        <f t="shared" si="9"/>
        <v>634.4</v>
      </c>
      <c r="P157" s="88">
        <v>377</v>
      </c>
      <c r="Q157" s="88">
        <v>41.5</v>
      </c>
      <c r="R157" s="88">
        <v>215.9</v>
      </c>
      <c r="S157" s="92">
        <f t="shared" si="10"/>
        <v>3986.79</v>
      </c>
      <c r="T157" s="93" t="s">
        <v>57</v>
      </c>
      <c r="U157" s="82" t="s">
        <v>289</v>
      </c>
      <c r="V157" s="83" t="s">
        <v>122</v>
      </c>
      <c r="W157" s="83" t="s">
        <v>29</v>
      </c>
      <c r="X157" s="82" t="s">
        <v>29</v>
      </c>
      <c r="Y157" s="94" t="e">
        <f>#REF!-H157</f>
        <v>#REF!</v>
      </c>
      <c r="Z157" s="95" t="e">
        <f>#REF!-J157</f>
        <v>#REF!</v>
      </c>
      <c r="AA157" s="96" t="e">
        <f>#REF!-L157</f>
        <v>#REF!</v>
      </c>
      <c r="AB157" s="95" t="e">
        <f>#REF!-N157</f>
        <v>#REF!</v>
      </c>
      <c r="AC157" s="94" t="e">
        <f>(#REF!+#REF!)-S157</f>
        <v>#REF!</v>
      </c>
      <c r="AD157" s="97" t="e">
        <f>AC157/(#REF!+#REF!)*100</f>
        <v>#REF!</v>
      </c>
      <c r="AE157" s="98"/>
      <c r="AF157" s="98"/>
      <c r="AG157" s="99"/>
      <c r="AH157" s="100" t="s">
        <v>95</v>
      </c>
    </row>
    <row r="158" spans="1:34" s="69" customFormat="1" x14ac:dyDescent="0.3">
      <c r="A158" s="75">
        <v>154</v>
      </c>
      <c r="B158" s="34" t="s">
        <v>26</v>
      </c>
      <c r="C158" s="34" t="s">
        <v>301</v>
      </c>
      <c r="D158" s="35" t="s">
        <v>302</v>
      </c>
      <c r="E158" s="35" t="s">
        <v>29</v>
      </c>
      <c r="F158" s="36" t="s">
        <v>30</v>
      </c>
      <c r="G158" s="37" t="s">
        <v>31</v>
      </c>
      <c r="H158" s="38">
        <f t="shared" si="8"/>
        <v>1137.44</v>
      </c>
      <c r="I158" s="39"/>
      <c r="J158" s="40">
        <v>1068.94</v>
      </c>
      <c r="K158" s="41">
        <f t="shared" si="11"/>
        <v>1068.94</v>
      </c>
      <c r="L158" s="42">
        <v>0</v>
      </c>
      <c r="M158" s="42"/>
      <c r="N158" s="42">
        <v>68.5</v>
      </c>
      <c r="O158" s="43">
        <f t="shared" si="9"/>
        <v>68.5</v>
      </c>
      <c r="P158" s="42">
        <v>68.5</v>
      </c>
      <c r="Q158" s="42"/>
      <c r="R158" s="42"/>
      <c r="S158" s="76">
        <f t="shared" si="10"/>
        <v>1068.94</v>
      </c>
      <c r="T158" s="35" t="s">
        <v>303</v>
      </c>
      <c r="U158" s="34" t="s">
        <v>304</v>
      </c>
      <c r="V158" s="35" t="s">
        <v>302</v>
      </c>
      <c r="W158" s="35" t="s">
        <v>29</v>
      </c>
      <c r="X158" s="34" t="s">
        <v>29</v>
      </c>
      <c r="Y158" s="77" t="e">
        <f>#REF!-H158</f>
        <v>#REF!</v>
      </c>
      <c r="Z158" s="78" t="e">
        <f>#REF!-J158</f>
        <v>#REF!</v>
      </c>
      <c r="AA158" s="79" t="e">
        <f>#REF!-L158</f>
        <v>#REF!</v>
      </c>
      <c r="AB158" s="78" t="e">
        <f>#REF!-N158</f>
        <v>#REF!</v>
      </c>
      <c r="AC158" s="77" t="e">
        <f>(#REF!+#REF!)-S158</f>
        <v>#REF!</v>
      </c>
      <c r="AD158" s="80" t="e">
        <f>AC158/(#REF!+#REF!)*100</f>
        <v>#REF!</v>
      </c>
      <c r="AG158" s="81"/>
      <c r="AH158" s="33" t="s">
        <v>34</v>
      </c>
    </row>
    <row r="159" spans="1:34" s="69" customFormat="1" x14ac:dyDescent="0.3">
      <c r="A159" s="101">
        <v>155</v>
      </c>
      <c r="B159" s="34" t="s">
        <v>26</v>
      </c>
      <c r="C159" s="34" t="s">
        <v>301</v>
      </c>
      <c r="D159" s="35" t="s">
        <v>302</v>
      </c>
      <c r="E159" s="35" t="s">
        <v>29</v>
      </c>
      <c r="F159" s="36" t="s">
        <v>43</v>
      </c>
      <c r="G159" s="37" t="s">
        <v>31</v>
      </c>
      <c r="H159" s="38">
        <f t="shared" si="8"/>
        <v>1104.29</v>
      </c>
      <c r="I159" s="39"/>
      <c r="J159" s="40">
        <v>1022.69</v>
      </c>
      <c r="K159" s="41">
        <f t="shared" si="11"/>
        <v>1022.69</v>
      </c>
      <c r="L159" s="42">
        <v>0</v>
      </c>
      <c r="M159" s="42"/>
      <c r="N159" s="42">
        <v>81.599999999999994</v>
      </c>
      <c r="O159" s="43">
        <f t="shared" si="9"/>
        <v>81.599999999999994</v>
      </c>
      <c r="P159" s="42">
        <v>70.3</v>
      </c>
      <c r="Q159" s="42">
        <v>11.3</v>
      </c>
      <c r="R159" s="42"/>
      <c r="S159" s="76">
        <f t="shared" si="10"/>
        <v>1022.69</v>
      </c>
      <c r="T159" s="35" t="s">
        <v>305</v>
      </c>
      <c r="U159" s="34" t="s">
        <v>304</v>
      </c>
      <c r="V159" s="35" t="s">
        <v>302</v>
      </c>
      <c r="W159" s="35" t="s">
        <v>29</v>
      </c>
      <c r="X159" s="34" t="s">
        <v>29</v>
      </c>
      <c r="Y159" s="77" t="e">
        <f>#REF!-H159</f>
        <v>#REF!</v>
      </c>
      <c r="Z159" s="78" t="e">
        <f>#REF!-J159</f>
        <v>#REF!</v>
      </c>
      <c r="AA159" s="79" t="e">
        <f>#REF!-L159</f>
        <v>#REF!</v>
      </c>
      <c r="AB159" s="78" t="e">
        <f>#REF!-N159</f>
        <v>#REF!</v>
      </c>
      <c r="AC159" s="77" t="e">
        <f>(#REF!+#REF!)-S159</f>
        <v>#REF!</v>
      </c>
      <c r="AD159" s="80" t="e">
        <f>AC159/(#REF!+#REF!)*100</f>
        <v>#REF!</v>
      </c>
      <c r="AG159" s="81"/>
      <c r="AH159" s="33" t="s">
        <v>34</v>
      </c>
    </row>
    <row r="160" spans="1:34" s="69" customFormat="1" x14ac:dyDescent="0.3">
      <c r="A160" s="75">
        <v>156</v>
      </c>
      <c r="B160" s="34" t="s">
        <v>26</v>
      </c>
      <c r="C160" s="34" t="s">
        <v>301</v>
      </c>
      <c r="D160" s="35" t="s">
        <v>78</v>
      </c>
      <c r="E160" s="35" t="s">
        <v>29</v>
      </c>
      <c r="F160" s="36" t="s">
        <v>30</v>
      </c>
      <c r="G160" s="37" t="s">
        <v>31</v>
      </c>
      <c r="H160" s="38">
        <f t="shared" si="8"/>
        <v>2392.4</v>
      </c>
      <c r="I160" s="39"/>
      <c r="J160" s="40">
        <v>1752</v>
      </c>
      <c r="K160" s="41">
        <f t="shared" si="11"/>
        <v>1752</v>
      </c>
      <c r="L160" s="42">
        <v>241.4</v>
      </c>
      <c r="M160" s="42"/>
      <c r="N160" s="40">
        <v>170.22</v>
      </c>
      <c r="O160" s="43">
        <f t="shared" si="9"/>
        <v>399</v>
      </c>
      <c r="P160" s="40">
        <v>277</v>
      </c>
      <c r="Q160" s="40">
        <v>52.4</v>
      </c>
      <c r="R160" s="40">
        <v>69.599999999999994</v>
      </c>
      <c r="S160" s="76">
        <f t="shared" si="10"/>
        <v>1993.4</v>
      </c>
      <c r="T160" s="35" t="s">
        <v>306</v>
      </c>
      <c r="U160" s="34" t="s">
        <v>304</v>
      </c>
      <c r="V160" s="35" t="s">
        <v>78</v>
      </c>
      <c r="W160" s="35" t="s">
        <v>29</v>
      </c>
      <c r="X160" s="34" t="s">
        <v>29</v>
      </c>
      <c r="Y160" s="77" t="e">
        <f>#REF!-H160</f>
        <v>#REF!</v>
      </c>
      <c r="Z160" s="78" t="e">
        <f>#REF!-J160</f>
        <v>#REF!</v>
      </c>
      <c r="AA160" s="79" t="e">
        <f>#REF!-L160</f>
        <v>#REF!</v>
      </c>
      <c r="AB160" s="78" t="e">
        <f>#REF!-N160</f>
        <v>#REF!</v>
      </c>
      <c r="AC160" s="77" t="e">
        <f>(#REF!+#REF!)-S160</f>
        <v>#REF!</v>
      </c>
      <c r="AD160" s="80" t="e">
        <f>AC160/(#REF!+#REF!)*100</f>
        <v>#REF!</v>
      </c>
      <c r="AG160" s="81"/>
      <c r="AH160" s="33" t="s">
        <v>34</v>
      </c>
    </row>
    <row r="161" spans="1:34" s="69" customFormat="1" x14ac:dyDescent="0.3">
      <c r="A161" s="75">
        <v>157</v>
      </c>
      <c r="B161" s="34" t="s">
        <v>26</v>
      </c>
      <c r="C161" s="34" t="s">
        <v>301</v>
      </c>
      <c r="D161" s="35" t="s">
        <v>77</v>
      </c>
      <c r="E161" s="35" t="s">
        <v>29</v>
      </c>
      <c r="F161" s="36" t="s">
        <v>30</v>
      </c>
      <c r="G161" s="37" t="s">
        <v>31</v>
      </c>
      <c r="H161" s="38">
        <f t="shared" si="8"/>
        <v>3158.4700000000003</v>
      </c>
      <c r="I161" s="39">
        <v>0</v>
      </c>
      <c r="J161" s="40">
        <v>2357.17</v>
      </c>
      <c r="K161" s="41">
        <f t="shared" si="11"/>
        <v>2357.17</v>
      </c>
      <c r="L161" s="42">
        <v>0</v>
      </c>
      <c r="M161" s="42"/>
      <c r="N161" s="40">
        <v>777.14</v>
      </c>
      <c r="O161" s="43">
        <f t="shared" si="9"/>
        <v>801.3</v>
      </c>
      <c r="P161" s="40">
        <v>277</v>
      </c>
      <c r="Q161" s="40">
        <v>26.5</v>
      </c>
      <c r="R161" s="40">
        <v>497.8</v>
      </c>
      <c r="S161" s="76">
        <f t="shared" si="10"/>
        <v>2357.17</v>
      </c>
      <c r="T161" s="35" t="s">
        <v>307</v>
      </c>
      <c r="U161" s="34" t="s">
        <v>304</v>
      </c>
      <c r="V161" s="35" t="s">
        <v>77</v>
      </c>
      <c r="W161" s="35" t="s">
        <v>29</v>
      </c>
      <c r="X161" s="34" t="s">
        <v>29</v>
      </c>
      <c r="Y161" s="77" t="e">
        <f>#REF!-H161</f>
        <v>#REF!</v>
      </c>
      <c r="Z161" s="78" t="e">
        <f>#REF!-J161</f>
        <v>#REF!</v>
      </c>
      <c r="AA161" s="79" t="e">
        <f>#REF!-L161</f>
        <v>#REF!</v>
      </c>
      <c r="AB161" s="78" t="e">
        <f>#REF!-N161</f>
        <v>#REF!</v>
      </c>
      <c r="AC161" s="77" t="e">
        <f>(#REF!+#REF!)-S161</f>
        <v>#REF!</v>
      </c>
      <c r="AD161" s="80" t="e">
        <f>AC161/(#REF!+#REF!)*100</f>
        <v>#REF!</v>
      </c>
      <c r="AG161" s="81"/>
      <c r="AH161" s="33" t="s">
        <v>34</v>
      </c>
    </row>
    <row r="162" spans="1:34" x14ac:dyDescent="0.3">
      <c r="A162" s="101">
        <v>158</v>
      </c>
      <c r="B162" s="51" t="s">
        <v>308</v>
      </c>
      <c r="C162" s="51" t="s">
        <v>309</v>
      </c>
      <c r="D162" s="52" t="s">
        <v>83</v>
      </c>
      <c r="E162" s="52" t="s">
        <v>29</v>
      </c>
      <c r="F162" s="53" t="s">
        <v>30</v>
      </c>
      <c r="G162" s="54"/>
      <c r="H162" s="55">
        <f t="shared" si="8"/>
        <v>6428.38</v>
      </c>
      <c r="I162" s="56"/>
      <c r="J162" s="57">
        <f>4785.48</f>
        <v>4785.4799999999996</v>
      </c>
      <c r="K162" s="58">
        <f t="shared" si="11"/>
        <v>4785.4799999999996</v>
      </c>
      <c r="L162" s="59">
        <f>560.9+170.7</f>
        <v>731.59999999999991</v>
      </c>
      <c r="M162" s="59"/>
      <c r="N162" s="57">
        <v>628</v>
      </c>
      <c r="O162" s="60">
        <f t="shared" si="9"/>
        <v>911.3</v>
      </c>
      <c r="P162" s="57">
        <v>628</v>
      </c>
      <c r="Q162" s="57">
        <v>0</v>
      </c>
      <c r="R162" s="57">
        <v>283.3</v>
      </c>
      <c r="S162" s="61">
        <f t="shared" si="10"/>
        <v>5517.08</v>
      </c>
      <c r="T162" s="52" t="s">
        <v>310</v>
      </c>
      <c r="U162" s="51" t="s">
        <v>311</v>
      </c>
      <c r="V162" s="52" t="s">
        <v>83</v>
      </c>
      <c r="W162" s="52" t="s">
        <v>29</v>
      </c>
      <c r="X162" s="51" t="s">
        <v>29</v>
      </c>
      <c r="Y162" s="62" t="e">
        <f>#REF!-H162</f>
        <v>#REF!</v>
      </c>
      <c r="Z162" s="63" t="e">
        <f>#REF!-J162</f>
        <v>#REF!</v>
      </c>
      <c r="AA162" s="64" t="e">
        <f>#REF!-L162</f>
        <v>#REF!</v>
      </c>
      <c r="AB162" s="63" t="e">
        <f>#REF!-N162</f>
        <v>#REF!</v>
      </c>
      <c r="AC162" s="62" t="e">
        <f>(#REF!+#REF!)-S162</f>
        <v>#REF!</v>
      </c>
      <c r="AD162" s="65" t="e">
        <f>AC162/(#REF!+#REF!)*100</f>
        <v>#REF!</v>
      </c>
      <c r="AE162" s="66"/>
      <c r="AF162" s="66"/>
      <c r="AG162" s="67" t="s">
        <v>248</v>
      </c>
      <c r="AH162" s="68" t="s">
        <v>39</v>
      </c>
    </row>
    <row r="163" spans="1:34" x14ac:dyDescent="0.3">
      <c r="A163" s="75">
        <v>159</v>
      </c>
      <c r="B163" s="51" t="s">
        <v>308</v>
      </c>
      <c r="C163" s="51" t="s">
        <v>309</v>
      </c>
      <c r="D163" s="52" t="s">
        <v>195</v>
      </c>
      <c r="E163" s="52" t="s">
        <v>29</v>
      </c>
      <c r="F163" s="53" t="s">
        <v>30</v>
      </c>
      <c r="G163" s="54"/>
      <c r="H163" s="55">
        <f t="shared" si="8"/>
        <v>5525.1</v>
      </c>
      <c r="I163" s="56"/>
      <c r="J163" s="112">
        <v>4666.3</v>
      </c>
      <c r="K163" s="58">
        <f t="shared" si="11"/>
        <v>4666.3</v>
      </c>
      <c r="L163" s="59">
        <v>361</v>
      </c>
      <c r="M163" s="59"/>
      <c r="N163" s="57">
        <v>765.03</v>
      </c>
      <c r="O163" s="60">
        <f t="shared" si="9"/>
        <v>497.8</v>
      </c>
      <c r="P163" s="57">
        <v>484.3</v>
      </c>
      <c r="Q163" s="57">
        <v>13.5</v>
      </c>
      <c r="R163" s="57"/>
      <c r="S163" s="61">
        <f t="shared" si="10"/>
        <v>5027.3</v>
      </c>
      <c r="T163" s="52" t="s">
        <v>312</v>
      </c>
      <c r="U163" s="51" t="s">
        <v>311</v>
      </c>
      <c r="V163" s="52" t="s">
        <v>195</v>
      </c>
      <c r="W163" s="52" t="s">
        <v>29</v>
      </c>
      <c r="X163" s="51" t="s">
        <v>29</v>
      </c>
      <c r="Y163" s="62" t="e">
        <f>#REF!-H163</f>
        <v>#REF!</v>
      </c>
      <c r="Z163" s="63" t="e">
        <f>#REF!-J163</f>
        <v>#REF!</v>
      </c>
      <c r="AA163" s="64" t="e">
        <f>#REF!-L163</f>
        <v>#REF!</v>
      </c>
      <c r="AB163" s="63" t="e">
        <f>#REF!-N163</f>
        <v>#REF!</v>
      </c>
      <c r="AC163" s="62" t="e">
        <f>(#REF!+#REF!)-S163</f>
        <v>#REF!</v>
      </c>
      <c r="AD163" s="65" t="e">
        <f>AC163/(#REF!+#REF!)*100</f>
        <v>#REF!</v>
      </c>
      <c r="AE163" s="66"/>
      <c r="AF163" s="66"/>
      <c r="AG163" s="67"/>
      <c r="AH163" s="68" t="s">
        <v>39</v>
      </c>
    </row>
    <row r="164" spans="1:34" s="69" customFormat="1" ht="21" x14ac:dyDescent="0.3">
      <c r="A164" s="75">
        <v>160</v>
      </c>
      <c r="B164" s="82" t="s">
        <v>26</v>
      </c>
      <c r="C164" s="82" t="s">
        <v>313</v>
      </c>
      <c r="D164" s="83" t="s">
        <v>31</v>
      </c>
      <c r="E164" s="83" t="s">
        <v>29</v>
      </c>
      <c r="F164" s="84" t="s">
        <v>30</v>
      </c>
      <c r="G164" s="85"/>
      <c r="H164" s="102">
        <f t="shared" si="8"/>
        <v>5503.4</v>
      </c>
      <c r="I164" s="87"/>
      <c r="J164" s="88">
        <v>3993.9</v>
      </c>
      <c r="K164" s="89">
        <f t="shared" si="11"/>
        <v>3993.9</v>
      </c>
      <c r="L164" s="103">
        <f>771.7-20.3</f>
        <v>751.40000000000009</v>
      </c>
      <c r="M164" s="103">
        <f>12.4+73+81.8+17.2</f>
        <v>184.39999999999998</v>
      </c>
      <c r="N164" s="88">
        <v>670.7</v>
      </c>
      <c r="O164" s="91">
        <f t="shared" si="9"/>
        <v>758.09999999999991</v>
      </c>
      <c r="P164" s="88">
        <v>567</v>
      </c>
      <c r="Q164" s="88">
        <v>45.8</v>
      </c>
      <c r="R164" s="88">
        <v>145.30000000000001</v>
      </c>
      <c r="S164" s="92">
        <f t="shared" si="10"/>
        <v>4745.3</v>
      </c>
      <c r="T164" s="93" t="s">
        <v>57</v>
      </c>
      <c r="U164" s="82" t="s">
        <v>76</v>
      </c>
      <c r="V164" s="83" t="s">
        <v>314</v>
      </c>
      <c r="W164" s="83" t="s">
        <v>29</v>
      </c>
      <c r="X164" s="82" t="s">
        <v>29</v>
      </c>
      <c r="Y164" s="94" t="e">
        <f>#REF!-H164</f>
        <v>#REF!</v>
      </c>
      <c r="Z164" s="95" t="e">
        <f>#REF!-J164</f>
        <v>#REF!</v>
      </c>
      <c r="AA164" s="96" t="e">
        <f>#REF!-L164</f>
        <v>#REF!</v>
      </c>
      <c r="AB164" s="95" t="e">
        <f>#REF!-N164</f>
        <v>#REF!</v>
      </c>
      <c r="AC164" s="94" t="e">
        <f>(#REF!+#REF!)-S164</f>
        <v>#REF!</v>
      </c>
      <c r="AD164" s="97" t="e">
        <f>AC164/(#REF!+#REF!)*100</f>
        <v>#REF!</v>
      </c>
      <c r="AE164" s="98"/>
      <c r="AF164" s="98"/>
      <c r="AG164" s="99"/>
      <c r="AH164" s="100" t="s">
        <v>95</v>
      </c>
    </row>
    <row r="165" spans="1:34" x14ac:dyDescent="0.3">
      <c r="A165" s="75">
        <v>161</v>
      </c>
      <c r="B165" s="34" t="s">
        <v>26</v>
      </c>
      <c r="C165" s="34" t="s">
        <v>313</v>
      </c>
      <c r="D165" s="35" t="s">
        <v>315</v>
      </c>
      <c r="E165" s="35" t="s">
        <v>29</v>
      </c>
      <c r="F165" s="36" t="s">
        <v>30</v>
      </c>
      <c r="G165" s="37"/>
      <c r="H165" s="113">
        <f t="shared" si="8"/>
        <v>2798.35</v>
      </c>
      <c r="I165" s="39"/>
      <c r="J165" s="40">
        <v>2572.35</v>
      </c>
      <c r="K165" s="41">
        <f t="shared" si="11"/>
        <v>2572.35</v>
      </c>
      <c r="L165" s="42">
        <v>0</v>
      </c>
      <c r="M165" s="42"/>
      <c r="N165" s="42">
        <v>226</v>
      </c>
      <c r="O165" s="43">
        <f t="shared" si="9"/>
        <v>226</v>
      </c>
      <c r="P165" s="42">
        <v>226</v>
      </c>
      <c r="Q165" s="42"/>
      <c r="R165" s="42"/>
      <c r="S165" s="44">
        <f t="shared" si="10"/>
        <v>2572.35</v>
      </c>
      <c r="T165" s="35" t="s">
        <v>316</v>
      </c>
      <c r="U165" s="70" t="s">
        <v>76</v>
      </c>
      <c r="V165" s="71" t="s">
        <v>315</v>
      </c>
      <c r="W165" s="71" t="s">
        <v>29</v>
      </c>
      <c r="X165" s="70" t="s">
        <v>29</v>
      </c>
      <c r="Y165" s="72" t="e">
        <f>#REF!-H165</f>
        <v>#REF!</v>
      </c>
      <c r="Z165" s="73" t="e">
        <f>#REF!-J165</f>
        <v>#REF!</v>
      </c>
      <c r="AA165" s="74" t="e">
        <f>#REF!-L165</f>
        <v>#REF!</v>
      </c>
      <c r="AB165" s="73" t="e">
        <f>#REF!-N165</f>
        <v>#REF!</v>
      </c>
      <c r="AC165" s="72" t="e">
        <f>(#REF!+#REF!)-S165</f>
        <v>#REF!</v>
      </c>
      <c r="AD165" s="50" t="e">
        <f>AC165/(#REF!+#REF!)*100</f>
        <v>#REF!</v>
      </c>
      <c r="AH165" s="33" t="s">
        <v>34</v>
      </c>
    </row>
    <row r="166" spans="1:34" x14ac:dyDescent="0.3">
      <c r="A166" s="101">
        <v>162</v>
      </c>
      <c r="B166" s="34" t="s">
        <v>26</v>
      </c>
      <c r="C166" s="34" t="s">
        <v>313</v>
      </c>
      <c r="D166" s="35" t="s">
        <v>315</v>
      </c>
      <c r="E166" s="35" t="s">
        <v>29</v>
      </c>
      <c r="F166" s="36" t="s">
        <v>43</v>
      </c>
      <c r="G166" s="37"/>
      <c r="H166" s="113">
        <f t="shared" si="8"/>
        <v>1782.94</v>
      </c>
      <c r="I166" s="39">
        <v>20.87</v>
      </c>
      <c r="J166" s="40">
        <v>1571.17</v>
      </c>
      <c r="K166" s="41">
        <f t="shared" si="11"/>
        <v>1592.04</v>
      </c>
      <c r="L166" s="42">
        <v>0</v>
      </c>
      <c r="M166" s="42"/>
      <c r="N166" s="42">
        <v>190.9</v>
      </c>
      <c r="O166" s="43">
        <f t="shared" si="9"/>
        <v>190.9</v>
      </c>
      <c r="P166" s="42">
        <v>151</v>
      </c>
      <c r="Q166" s="42">
        <v>39.9</v>
      </c>
      <c r="R166" s="42"/>
      <c r="S166" s="44">
        <f t="shared" si="10"/>
        <v>1592.04</v>
      </c>
      <c r="T166" s="35" t="s">
        <v>317</v>
      </c>
      <c r="U166" s="70" t="s">
        <v>76</v>
      </c>
      <c r="V166" s="71" t="s">
        <v>315</v>
      </c>
      <c r="W166" s="71" t="s">
        <v>29</v>
      </c>
      <c r="X166" s="70" t="s">
        <v>29</v>
      </c>
      <c r="Y166" s="72" t="e">
        <f>#REF!-H166</f>
        <v>#REF!</v>
      </c>
      <c r="Z166" s="73" t="e">
        <f>#REF!-J166</f>
        <v>#REF!</v>
      </c>
      <c r="AA166" s="74" t="e">
        <f>#REF!-L166</f>
        <v>#REF!</v>
      </c>
      <c r="AB166" s="73" t="e">
        <f>#REF!-N166</f>
        <v>#REF!</v>
      </c>
      <c r="AC166" s="72" t="e">
        <f>(#REF!+#REF!)-S166</f>
        <v>#REF!</v>
      </c>
      <c r="AD166" s="50" t="e">
        <f>AC166/(#REF!+#REF!)*100</f>
        <v>#REF!</v>
      </c>
      <c r="AH166" s="33" t="s">
        <v>34</v>
      </c>
    </row>
    <row r="167" spans="1:34" x14ac:dyDescent="0.3">
      <c r="A167" s="75">
        <v>163</v>
      </c>
      <c r="B167" s="34" t="s">
        <v>26</v>
      </c>
      <c r="C167" s="34" t="s">
        <v>313</v>
      </c>
      <c r="D167" s="35" t="s">
        <v>241</v>
      </c>
      <c r="E167" s="35" t="s">
        <v>29</v>
      </c>
      <c r="F167" s="36" t="s">
        <v>30</v>
      </c>
      <c r="G167" s="37"/>
      <c r="H167" s="114">
        <f t="shared" si="8"/>
        <v>6879.9600000000009</v>
      </c>
      <c r="I167" s="39"/>
      <c r="J167" s="40">
        <v>5021.26</v>
      </c>
      <c r="K167" s="41">
        <f t="shared" si="11"/>
        <v>5021.26</v>
      </c>
      <c r="L167" s="106">
        <f>651.5+76.6</f>
        <v>728.1</v>
      </c>
      <c r="M167" s="106">
        <f>76.6</f>
        <v>76.599999999999994</v>
      </c>
      <c r="N167" s="40">
        <v>1167.1400000000001</v>
      </c>
      <c r="O167" s="43">
        <f t="shared" si="9"/>
        <v>1130.5999999999999</v>
      </c>
      <c r="P167" s="40">
        <v>1057</v>
      </c>
      <c r="Q167" s="40">
        <v>73.599999999999994</v>
      </c>
      <c r="R167" s="40"/>
      <c r="S167" s="44">
        <f t="shared" si="10"/>
        <v>5749.3600000000006</v>
      </c>
      <c r="T167" s="35" t="s">
        <v>318</v>
      </c>
      <c r="U167" s="70" t="s">
        <v>76</v>
      </c>
      <c r="V167" s="71" t="s">
        <v>241</v>
      </c>
      <c r="W167" s="71" t="s">
        <v>29</v>
      </c>
      <c r="X167" s="70" t="s">
        <v>29</v>
      </c>
      <c r="Y167" s="72" t="e">
        <f>#REF!-H167</f>
        <v>#REF!</v>
      </c>
      <c r="Z167" s="73" t="e">
        <f>#REF!-J167</f>
        <v>#REF!</v>
      </c>
      <c r="AA167" s="74" t="e">
        <f>#REF!-L167</f>
        <v>#REF!</v>
      </c>
      <c r="AB167" s="73" t="e">
        <f>#REF!-N167</f>
        <v>#REF!</v>
      </c>
      <c r="AC167" s="72" t="e">
        <f>(#REF!+#REF!)-S167</f>
        <v>#REF!</v>
      </c>
      <c r="AD167" s="50" t="e">
        <f>AC167/(#REF!+#REF!)*100</f>
        <v>#REF!</v>
      </c>
      <c r="AH167" s="33" t="s">
        <v>34</v>
      </c>
    </row>
    <row r="168" spans="1:34" s="69" customFormat="1" ht="21" x14ac:dyDescent="0.3">
      <c r="A168" s="75">
        <v>164</v>
      </c>
      <c r="B168" s="82" t="s">
        <v>26</v>
      </c>
      <c r="C168" s="82" t="s">
        <v>313</v>
      </c>
      <c r="D168" s="83" t="s">
        <v>319</v>
      </c>
      <c r="E168" s="83" t="s">
        <v>29</v>
      </c>
      <c r="F168" s="84" t="s">
        <v>30</v>
      </c>
      <c r="G168" s="85" t="s">
        <v>31</v>
      </c>
      <c r="H168" s="86">
        <f t="shared" si="8"/>
        <v>3871.7899999999995</v>
      </c>
      <c r="I168" s="87">
        <v>0</v>
      </c>
      <c r="J168" s="88">
        <f>2838.49</f>
        <v>2838.49</v>
      </c>
      <c r="K168" s="89">
        <f t="shared" si="11"/>
        <v>2838.49</v>
      </c>
      <c r="L168" s="90">
        <v>265.2</v>
      </c>
      <c r="M168" s="90"/>
      <c r="N168" s="88">
        <v>687.1</v>
      </c>
      <c r="O168" s="91">
        <f t="shared" si="9"/>
        <v>768.1</v>
      </c>
      <c r="P168" s="88">
        <v>635</v>
      </c>
      <c r="Q168" s="88">
        <v>52.1</v>
      </c>
      <c r="R168" s="88">
        <v>81</v>
      </c>
      <c r="S168" s="92">
        <f t="shared" si="10"/>
        <v>3103.6899999999996</v>
      </c>
      <c r="T168" s="93" t="s">
        <v>57</v>
      </c>
      <c r="U168" s="82" t="s">
        <v>76</v>
      </c>
      <c r="V168" s="83" t="s">
        <v>319</v>
      </c>
      <c r="W168" s="83" t="s">
        <v>29</v>
      </c>
      <c r="X168" s="82" t="s">
        <v>29</v>
      </c>
      <c r="Y168" s="94" t="e">
        <f>#REF!-H168</f>
        <v>#REF!</v>
      </c>
      <c r="Z168" s="95" t="e">
        <f>#REF!-J168</f>
        <v>#REF!</v>
      </c>
      <c r="AA168" s="96" t="e">
        <f>#REF!-L168</f>
        <v>#REF!</v>
      </c>
      <c r="AB168" s="95" t="e">
        <f>#REF!-N168</f>
        <v>#REF!</v>
      </c>
      <c r="AC168" s="94" t="e">
        <f>(#REF!+#REF!)-S168</f>
        <v>#REF!</v>
      </c>
      <c r="AD168" s="97" t="e">
        <f>AC168/(#REF!+#REF!)*100</f>
        <v>#REF!</v>
      </c>
      <c r="AE168" s="98"/>
      <c r="AF168" s="98"/>
      <c r="AG168" s="99"/>
      <c r="AH168" s="100" t="s">
        <v>95</v>
      </c>
    </row>
    <row r="169" spans="1:34" x14ac:dyDescent="0.3">
      <c r="A169" s="101">
        <v>165</v>
      </c>
      <c r="B169" s="34" t="s">
        <v>26</v>
      </c>
      <c r="C169" s="34" t="s">
        <v>313</v>
      </c>
      <c r="D169" s="35" t="s">
        <v>80</v>
      </c>
      <c r="E169" s="35" t="s">
        <v>29</v>
      </c>
      <c r="F169" s="36" t="s">
        <v>30</v>
      </c>
      <c r="G169" s="37"/>
      <c r="H169" s="113">
        <f t="shared" si="8"/>
        <v>3753.3900000000003</v>
      </c>
      <c r="I169" s="39">
        <v>0</v>
      </c>
      <c r="J169" s="40">
        <v>2742.09</v>
      </c>
      <c r="K169" s="41">
        <f t="shared" si="11"/>
        <v>2742.09</v>
      </c>
      <c r="L169" s="42">
        <v>690.4</v>
      </c>
      <c r="M169" s="42"/>
      <c r="N169" s="40">
        <v>314.57</v>
      </c>
      <c r="O169" s="43">
        <f t="shared" si="9"/>
        <v>320.89999999999998</v>
      </c>
      <c r="P169" s="40">
        <v>289</v>
      </c>
      <c r="Q169" s="40">
        <v>31.9</v>
      </c>
      <c r="R169" s="40"/>
      <c r="S169" s="44">
        <f t="shared" si="10"/>
        <v>3432.4900000000002</v>
      </c>
      <c r="T169" s="35" t="s">
        <v>320</v>
      </c>
      <c r="U169" s="70" t="s">
        <v>76</v>
      </c>
      <c r="V169" s="71" t="s">
        <v>80</v>
      </c>
      <c r="W169" s="71" t="s">
        <v>29</v>
      </c>
      <c r="X169" s="70" t="s">
        <v>29</v>
      </c>
      <c r="Y169" s="72" t="e">
        <f>#REF!-H169</f>
        <v>#REF!</v>
      </c>
      <c r="Z169" s="73" t="e">
        <f>#REF!-J169</f>
        <v>#REF!</v>
      </c>
      <c r="AA169" s="74" t="e">
        <f>#REF!-L169</f>
        <v>#REF!</v>
      </c>
      <c r="AB169" s="73" t="e">
        <f>#REF!-N169</f>
        <v>#REF!</v>
      </c>
      <c r="AC169" s="72" t="e">
        <f>(#REF!+#REF!)-S169</f>
        <v>#REF!</v>
      </c>
      <c r="AD169" s="50" t="e">
        <f>AC169/(#REF!+#REF!)*100</f>
        <v>#REF!</v>
      </c>
      <c r="AH169" s="33" t="s">
        <v>34</v>
      </c>
    </row>
    <row r="170" spans="1:34" s="69" customFormat="1" ht="21" x14ac:dyDescent="0.3">
      <c r="A170" s="75">
        <v>166</v>
      </c>
      <c r="B170" s="82" t="s">
        <v>26</v>
      </c>
      <c r="C170" s="82" t="s">
        <v>313</v>
      </c>
      <c r="D170" s="83" t="s">
        <v>85</v>
      </c>
      <c r="E170" s="83" t="s">
        <v>29</v>
      </c>
      <c r="F170" s="84" t="s">
        <v>30</v>
      </c>
      <c r="G170" s="85" t="s">
        <v>31</v>
      </c>
      <c r="H170" s="86">
        <f t="shared" si="8"/>
        <v>2424.08</v>
      </c>
      <c r="I170" s="87"/>
      <c r="J170" s="88">
        <v>1998.38</v>
      </c>
      <c r="K170" s="89">
        <f t="shared" si="11"/>
        <v>1998.38</v>
      </c>
      <c r="L170" s="90">
        <v>0</v>
      </c>
      <c r="M170" s="90"/>
      <c r="N170" s="88">
        <v>329.2</v>
      </c>
      <c r="O170" s="91">
        <f t="shared" si="9"/>
        <v>425.7</v>
      </c>
      <c r="P170" s="88">
        <v>289.8</v>
      </c>
      <c r="Q170" s="88">
        <v>19.2</v>
      </c>
      <c r="R170" s="88">
        <v>116.7</v>
      </c>
      <c r="S170" s="92">
        <f t="shared" si="10"/>
        <v>1998.38</v>
      </c>
      <c r="T170" s="93" t="s">
        <v>57</v>
      </c>
      <c r="U170" s="82" t="s">
        <v>76</v>
      </c>
      <c r="V170" s="83" t="s">
        <v>85</v>
      </c>
      <c r="W170" s="83" t="s">
        <v>29</v>
      </c>
      <c r="X170" s="82" t="s">
        <v>29</v>
      </c>
      <c r="Y170" s="94" t="e">
        <f>#REF!-H170</f>
        <v>#REF!</v>
      </c>
      <c r="Z170" s="95" t="e">
        <f>#REF!-J170</f>
        <v>#REF!</v>
      </c>
      <c r="AA170" s="96" t="e">
        <f>#REF!-L170</f>
        <v>#REF!</v>
      </c>
      <c r="AB170" s="95" t="e">
        <f>#REF!-N170</f>
        <v>#REF!</v>
      </c>
      <c r="AC170" s="94" t="e">
        <f>(#REF!+#REF!)-S170</f>
        <v>#REF!</v>
      </c>
      <c r="AD170" s="97" t="e">
        <f>AC170/(#REF!+#REF!)*100</f>
        <v>#REF!</v>
      </c>
      <c r="AE170" s="98"/>
      <c r="AF170" s="98"/>
      <c r="AG170" s="99"/>
      <c r="AH170" s="100" t="s">
        <v>95</v>
      </c>
    </row>
    <row r="171" spans="1:34" s="69" customFormat="1" x14ac:dyDescent="0.3">
      <c r="A171" s="75">
        <v>167</v>
      </c>
      <c r="B171" s="34" t="s">
        <v>26</v>
      </c>
      <c r="C171" s="34" t="s">
        <v>313</v>
      </c>
      <c r="D171" s="35" t="s">
        <v>100</v>
      </c>
      <c r="E171" s="35" t="s">
        <v>29</v>
      </c>
      <c r="F171" s="36" t="s">
        <v>30</v>
      </c>
      <c r="G171" s="37"/>
      <c r="H171" s="38">
        <f t="shared" si="8"/>
        <v>1609.77</v>
      </c>
      <c r="I171" s="39">
        <v>21.87</v>
      </c>
      <c r="J171" s="40">
        <v>1424.9</v>
      </c>
      <c r="K171" s="41">
        <f t="shared" si="11"/>
        <v>1446.77</v>
      </c>
      <c r="L171" s="42">
        <v>0</v>
      </c>
      <c r="M171" s="42"/>
      <c r="N171" s="40">
        <v>163</v>
      </c>
      <c r="O171" s="43">
        <f t="shared" si="9"/>
        <v>163</v>
      </c>
      <c r="P171" s="40">
        <v>163</v>
      </c>
      <c r="Q171" s="40"/>
      <c r="R171" s="40"/>
      <c r="S171" s="76">
        <f t="shared" si="10"/>
        <v>1446.77</v>
      </c>
      <c r="T171" s="35" t="s">
        <v>321</v>
      </c>
      <c r="U171" s="34" t="s">
        <v>76</v>
      </c>
      <c r="V171" s="35" t="s">
        <v>100</v>
      </c>
      <c r="W171" s="35" t="s">
        <v>29</v>
      </c>
      <c r="X171" s="34" t="s">
        <v>29</v>
      </c>
      <c r="Y171" s="77" t="e">
        <f>#REF!-H171</f>
        <v>#REF!</v>
      </c>
      <c r="Z171" s="78" t="e">
        <f>#REF!-J171</f>
        <v>#REF!</v>
      </c>
      <c r="AA171" s="79" t="e">
        <f>#REF!-L171</f>
        <v>#REF!</v>
      </c>
      <c r="AB171" s="78" t="e">
        <f>#REF!-N171</f>
        <v>#REF!</v>
      </c>
      <c r="AC171" s="77" t="e">
        <f>(#REF!+#REF!)-S171</f>
        <v>#REF!</v>
      </c>
      <c r="AD171" s="80" t="e">
        <f>AC171/(#REF!+#REF!)*100</f>
        <v>#REF!</v>
      </c>
      <c r="AG171" s="81"/>
      <c r="AH171" s="33" t="s">
        <v>34</v>
      </c>
    </row>
    <row r="172" spans="1:34" s="69" customFormat="1" x14ac:dyDescent="0.3">
      <c r="A172" s="101">
        <v>168</v>
      </c>
      <c r="B172" s="34" t="s">
        <v>322</v>
      </c>
      <c r="C172" s="34" t="s">
        <v>323</v>
      </c>
      <c r="D172" s="35" t="s">
        <v>222</v>
      </c>
      <c r="E172" s="35" t="s">
        <v>29</v>
      </c>
      <c r="F172" s="36" t="s">
        <v>30</v>
      </c>
      <c r="G172" s="37"/>
      <c r="H172" s="38">
        <f t="shared" si="8"/>
        <v>1718.9099999999999</v>
      </c>
      <c r="I172" s="39"/>
      <c r="J172" s="40">
        <v>1179.31</v>
      </c>
      <c r="K172" s="41">
        <f t="shared" si="11"/>
        <v>1179.31</v>
      </c>
      <c r="L172" s="42">
        <v>308</v>
      </c>
      <c r="M172" s="42"/>
      <c r="N172" s="40">
        <v>225</v>
      </c>
      <c r="O172" s="43">
        <f t="shared" si="9"/>
        <v>231.6</v>
      </c>
      <c r="P172" s="40">
        <v>225</v>
      </c>
      <c r="Q172" s="40">
        <v>6.6</v>
      </c>
      <c r="R172" s="40"/>
      <c r="S172" s="76">
        <f t="shared" si="10"/>
        <v>1487.31</v>
      </c>
      <c r="T172" s="35" t="s">
        <v>324</v>
      </c>
      <c r="U172" s="34" t="s">
        <v>325</v>
      </c>
      <c r="V172" s="35" t="s">
        <v>222</v>
      </c>
      <c r="W172" s="35" t="s">
        <v>29</v>
      </c>
      <c r="X172" s="34" t="s">
        <v>29</v>
      </c>
      <c r="Y172" s="77" t="e">
        <f>#REF!-H172</f>
        <v>#REF!</v>
      </c>
      <c r="Z172" s="78" t="e">
        <f>#REF!-J172</f>
        <v>#REF!</v>
      </c>
      <c r="AA172" s="79" t="e">
        <f>#REF!-L172</f>
        <v>#REF!</v>
      </c>
      <c r="AB172" s="78" t="e">
        <f>#REF!-N172</f>
        <v>#REF!</v>
      </c>
      <c r="AC172" s="77" t="e">
        <f>(#REF!+#REF!)-S172</f>
        <v>#REF!</v>
      </c>
      <c r="AD172" s="80" t="e">
        <f>AC172/(#REF!+#REF!)*100</f>
        <v>#REF!</v>
      </c>
      <c r="AG172" s="81"/>
      <c r="AH172" s="33" t="s">
        <v>34</v>
      </c>
    </row>
    <row r="173" spans="1:34" x14ac:dyDescent="0.3">
      <c r="A173" s="75">
        <v>169</v>
      </c>
      <c r="B173" s="51" t="s">
        <v>326</v>
      </c>
      <c r="C173" s="51" t="s">
        <v>323</v>
      </c>
      <c r="D173" s="52" t="s">
        <v>327</v>
      </c>
      <c r="E173" s="52" t="s">
        <v>29</v>
      </c>
      <c r="F173" s="53" t="s">
        <v>30</v>
      </c>
      <c r="G173" s="54" t="s">
        <v>31</v>
      </c>
      <c r="H173" s="55">
        <f t="shared" si="8"/>
        <v>2444.41</v>
      </c>
      <c r="I173" s="56"/>
      <c r="J173" s="57">
        <v>2139.21</v>
      </c>
      <c r="K173" s="58">
        <f t="shared" si="11"/>
        <v>2139.21</v>
      </c>
      <c r="L173" s="59">
        <v>0</v>
      </c>
      <c r="M173" s="59"/>
      <c r="N173" s="57">
        <v>305.2</v>
      </c>
      <c r="O173" s="60">
        <f t="shared" si="9"/>
        <v>305.2</v>
      </c>
      <c r="P173" s="57">
        <v>305.2</v>
      </c>
      <c r="Q173" s="57"/>
      <c r="R173" s="57"/>
      <c r="S173" s="61">
        <f t="shared" si="10"/>
        <v>2139.21</v>
      </c>
      <c r="T173" s="52" t="s">
        <v>328</v>
      </c>
      <c r="U173" s="51" t="s">
        <v>325</v>
      </c>
      <c r="V173" s="52" t="s">
        <v>327</v>
      </c>
      <c r="W173" s="52" t="s">
        <v>29</v>
      </c>
      <c r="X173" s="51" t="s">
        <v>29</v>
      </c>
      <c r="Y173" s="62" t="e">
        <f>#REF!-H173</f>
        <v>#REF!</v>
      </c>
      <c r="Z173" s="63" t="e">
        <f>#REF!-J173</f>
        <v>#REF!</v>
      </c>
      <c r="AA173" s="64" t="e">
        <f>#REF!-L173</f>
        <v>#REF!</v>
      </c>
      <c r="AB173" s="63" t="e">
        <f>#REF!-N173</f>
        <v>#REF!</v>
      </c>
      <c r="AC173" s="62" t="e">
        <f>(#REF!+#REF!)-S173</f>
        <v>#REF!</v>
      </c>
      <c r="AD173" s="65" t="e">
        <f>AC173/(#REF!+#REF!)*100</f>
        <v>#REF!</v>
      </c>
      <c r="AE173" s="66"/>
      <c r="AF173" s="66"/>
      <c r="AG173" s="67"/>
      <c r="AH173" s="68" t="s">
        <v>39</v>
      </c>
    </row>
    <row r="174" spans="1:34" x14ac:dyDescent="0.3">
      <c r="A174" s="75">
        <v>170</v>
      </c>
      <c r="B174" s="51" t="s">
        <v>326</v>
      </c>
      <c r="C174" s="51" t="s">
        <v>323</v>
      </c>
      <c r="D174" s="52" t="s">
        <v>327</v>
      </c>
      <c r="E174" s="52" t="s">
        <v>31</v>
      </c>
      <c r="F174" s="53" t="s">
        <v>43</v>
      </c>
      <c r="G174" s="54" t="s">
        <v>31</v>
      </c>
      <c r="H174" s="55">
        <f t="shared" si="8"/>
        <v>1996.29</v>
      </c>
      <c r="I174" s="56">
        <v>20.81</v>
      </c>
      <c r="J174" s="57">
        <v>1187.68</v>
      </c>
      <c r="K174" s="58">
        <f t="shared" si="11"/>
        <v>1208.49</v>
      </c>
      <c r="L174" s="59">
        <f>394.5+143.7</f>
        <v>538.20000000000005</v>
      </c>
      <c r="M174" s="59">
        <v>143.69999999999999</v>
      </c>
      <c r="N174" s="57">
        <v>497.4</v>
      </c>
      <c r="O174" s="60">
        <f t="shared" si="9"/>
        <v>249.6</v>
      </c>
      <c r="P174" s="57">
        <v>233.1</v>
      </c>
      <c r="Q174" s="57">
        <v>16.5</v>
      </c>
      <c r="R174" s="57">
        <v>0</v>
      </c>
      <c r="S174" s="61">
        <f t="shared" si="10"/>
        <v>1746.69</v>
      </c>
      <c r="T174" s="52" t="s">
        <v>329</v>
      </c>
      <c r="U174" s="51" t="s">
        <v>325</v>
      </c>
      <c r="V174" s="52" t="s">
        <v>327</v>
      </c>
      <c r="W174" s="52" t="s">
        <v>31</v>
      </c>
      <c r="X174" s="51" t="s">
        <v>29</v>
      </c>
      <c r="Y174" s="62" t="e">
        <f>#REF!-H174</f>
        <v>#REF!</v>
      </c>
      <c r="Z174" s="63" t="e">
        <f>#REF!-J174</f>
        <v>#REF!</v>
      </c>
      <c r="AA174" s="64" t="e">
        <f>#REF!-L174</f>
        <v>#REF!</v>
      </c>
      <c r="AB174" s="63" t="e">
        <f>#REF!-N174</f>
        <v>#REF!</v>
      </c>
      <c r="AC174" s="62" t="e">
        <f>(#REF!+#REF!)-S174</f>
        <v>#REF!</v>
      </c>
      <c r="AD174" s="65" t="e">
        <f>AC174/(#REF!+#REF!)*100</f>
        <v>#REF!</v>
      </c>
      <c r="AE174" s="66"/>
      <c r="AF174" s="66"/>
      <c r="AG174" s="67"/>
      <c r="AH174" s="68" t="s">
        <v>39</v>
      </c>
    </row>
    <row r="175" spans="1:34" s="69" customFormat="1" x14ac:dyDescent="0.3">
      <c r="A175" s="75">
        <v>171</v>
      </c>
      <c r="B175" s="34" t="s">
        <v>26</v>
      </c>
      <c r="C175" s="34" t="s">
        <v>323</v>
      </c>
      <c r="D175" s="35" t="s">
        <v>51</v>
      </c>
      <c r="E175" s="35" t="s">
        <v>29</v>
      </c>
      <c r="F175" s="36" t="s">
        <v>30</v>
      </c>
      <c r="G175" s="37"/>
      <c r="H175" s="38">
        <f t="shared" si="8"/>
        <v>5777.96</v>
      </c>
      <c r="I175" s="39"/>
      <c r="J175" s="40">
        <v>5283.96</v>
      </c>
      <c r="K175" s="41">
        <f t="shared" si="11"/>
        <v>5283.96</v>
      </c>
      <c r="L175" s="42">
        <v>0</v>
      </c>
      <c r="M175" s="42"/>
      <c r="N175" s="40">
        <v>494</v>
      </c>
      <c r="O175" s="43">
        <f t="shared" si="9"/>
        <v>494</v>
      </c>
      <c r="P175" s="40">
        <v>454</v>
      </c>
      <c r="Q175" s="40">
        <v>40</v>
      </c>
      <c r="R175" s="40"/>
      <c r="S175" s="76">
        <f t="shared" si="10"/>
        <v>5283.96</v>
      </c>
      <c r="T175" s="35" t="s">
        <v>330</v>
      </c>
      <c r="U175" s="34" t="s">
        <v>325</v>
      </c>
      <c r="V175" s="35" t="s">
        <v>51</v>
      </c>
      <c r="W175" s="35" t="s">
        <v>29</v>
      </c>
      <c r="X175" s="34" t="s">
        <v>29</v>
      </c>
      <c r="Y175" s="77" t="e">
        <f>#REF!-H175</f>
        <v>#REF!</v>
      </c>
      <c r="Z175" s="78" t="e">
        <f>#REF!-J175</f>
        <v>#REF!</v>
      </c>
      <c r="AA175" s="79" t="e">
        <f>#REF!-L175</f>
        <v>#REF!</v>
      </c>
      <c r="AB175" s="78" t="e">
        <f>#REF!-N175</f>
        <v>#REF!</v>
      </c>
      <c r="AC175" s="77" t="e">
        <f>(#REF!+#REF!)-S175</f>
        <v>#REF!</v>
      </c>
      <c r="AD175" s="80" t="e">
        <f>AC175/(#REF!+#REF!)*100</f>
        <v>#REF!</v>
      </c>
      <c r="AG175" s="81"/>
      <c r="AH175" s="33" t="s">
        <v>34</v>
      </c>
    </row>
    <row r="176" spans="1:34" s="69" customFormat="1" x14ac:dyDescent="0.3">
      <c r="A176" s="101">
        <v>172</v>
      </c>
      <c r="B176" s="34" t="s">
        <v>26</v>
      </c>
      <c r="C176" s="34" t="s">
        <v>323</v>
      </c>
      <c r="D176" s="35" t="s">
        <v>55</v>
      </c>
      <c r="E176" s="35" t="s">
        <v>29</v>
      </c>
      <c r="F176" s="36" t="s">
        <v>30</v>
      </c>
      <c r="G176" s="37"/>
      <c r="H176" s="38">
        <f t="shared" si="8"/>
        <v>4716.26</v>
      </c>
      <c r="I176" s="39">
        <v>0</v>
      </c>
      <c r="J176" s="40">
        <f>3919.16</f>
        <v>3919.16</v>
      </c>
      <c r="K176" s="41">
        <f t="shared" si="11"/>
        <v>3919.16</v>
      </c>
      <c r="L176" s="42">
        <v>0</v>
      </c>
      <c r="M176" s="42"/>
      <c r="N176" s="40">
        <v>391.1</v>
      </c>
      <c r="O176" s="43">
        <f t="shared" si="9"/>
        <v>797.1</v>
      </c>
      <c r="P176" s="40">
        <v>758</v>
      </c>
      <c r="Q176" s="40">
        <v>39.1</v>
      </c>
      <c r="R176" s="40"/>
      <c r="S176" s="76">
        <f t="shared" si="10"/>
        <v>3919.16</v>
      </c>
      <c r="T176" s="35" t="s">
        <v>331</v>
      </c>
      <c r="U176" s="34" t="s">
        <v>325</v>
      </c>
      <c r="V176" s="35" t="s">
        <v>55</v>
      </c>
      <c r="W176" s="35" t="s">
        <v>29</v>
      </c>
      <c r="X176" s="34" t="s">
        <v>29</v>
      </c>
      <c r="Y176" s="77" t="e">
        <f>#REF!-H176</f>
        <v>#REF!</v>
      </c>
      <c r="Z176" s="78" t="e">
        <f>#REF!-J176</f>
        <v>#REF!</v>
      </c>
      <c r="AA176" s="79" t="e">
        <f>#REF!-L176</f>
        <v>#REF!</v>
      </c>
      <c r="AB176" s="78" t="e">
        <f>#REF!-N176</f>
        <v>#REF!</v>
      </c>
      <c r="AC176" s="77" t="e">
        <f>(#REF!+#REF!)-S176</f>
        <v>#REF!</v>
      </c>
      <c r="AD176" s="80" t="e">
        <f>AC176/(#REF!+#REF!)*100</f>
        <v>#REF!</v>
      </c>
      <c r="AG176" s="81"/>
      <c r="AH176" s="33" t="s">
        <v>34</v>
      </c>
    </row>
    <row r="177" spans="1:34" s="69" customFormat="1" x14ac:dyDescent="0.3">
      <c r="A177" s="75">
        <v>173</v>
      </c>
      <c r="B177" s="34" t="s">
        <v>26</v>
      </c>
      <c r="C177" s="34" t="s">
        <v>323</v>
      </c>
      <c r="D177" s="35" t="s">
        <v>332</v>
      </c>
      <c r="E177" s="35" t="s">
        <v>29</v>
      </c>
      <c r="F177" s="36" t="s">
        <v>30</v>
      </c>
      <c r="G177" s="37"/>
      <c r="H177" s="38">
        <f t="shared" si="8"/>
        <v>3800.9300000000003</v>
      </c>
      <c r="I177" s="39"/>
      <c r="J177" s="40">
        <v>3434.53</v>
      </c>
      <c r="K177" s="41">
        <f t="shared" si="11"/>
        <v>3434.53</v>
      </c>
      <c r="L177" s="42">
        <v>0</v>
      </c>
      <c r="M177" s="42"/>
      <c r="N177" s="40">
        <v>366.4</v>
      </c>
      <c r="O177" s="43">
        <f t="shared" si="9"/>
        <v>366.4</v>
      </c>
      <c r="P177" s="40">
        <v>335</v>
      </c>
      <c r="Q177" s="40">
        <v>31.4</v>
      </c>
      <c r="R177" s="40"/>
      <c r="S177" s="76">
        <f t="shared" si="10"/>
        <v>3434.53</v>
      </c>
      <c r="T177" s="35" t="s">
        <v>333</v>
      </c>
      <c r="U177" s="34" t="s">
        <v>325</v>
      </c>
      <c r="V177" s="35" t="s">
        <v>332</v>
      </c>
      <c r="W177" s="35" t="s">
        <v>29</v>
      </c>
      <c r="X177" s="34" t="s">
        <v>29</v>
      </c>
      <c r="Y177" s="77" t="e">
        <f>#REF!-H177</f>
        <v>#REF!</v>
      </c>
      <c r="Z177" s="78" t="e">
        <f>#REF!-J177</f>
        <v>#REF!</v>
      </c>
      <c r="AA177" s="79" t="e">
        <f>#REF!-L177</f>
        <v>#REF!</v>
      </c>
      <c r="AB177" s="78" t="e">
        <f>#REF!-N177</f>
        <v>#REF!</v>
      </c>
      <c r="AC177" s="77" t="e">
        <f>(#REF!+#REF!)-S177</f>
        <v>#REF!</v>
      </c>
      <c r="AD177" s="80" t="e">
        <f>AC177/(#REF!+#REF!)*100</f>
        <v>#REF!</v>
      </c>
      <c r="AG177" s="81"/>
      <c r="AH177" s="33" t="s">
        <v>34</v>
      </c>
    </row>
    <row r="178" spans="1:34" s="69" customFormat="1" x14ac:dyDescent="0.3">
      <c r="A178" s="75">
        <v>174</v>
      </c>
      <c r="B178" s="34" t="s">
        <v>26</v>
      </c>
      <c r="C178" s="34" t="s">
        <v>323</v>
      </c>
      <c r="D178" s="35" t="s">
        <v>334</v>
      </c>
      <c r="E178" s="35" t="s">
        <v>29</v>
      </c>
      <c r="F178" s="36" t="s">
        <v>30</v>
      </c>
      <c r="G178" s="37"/>
      <c r="H178" s="38">
        <f t="shared" si="8"/>
        <v>11882.659999999998</v>
      </c>
      <c r="I178" s="39"/>
      <c r="J178" s="40">
        <f>8040.98-0.77+0.05</f>
        <v>8040.2599999999993</v>
      </c>
      <c r="K178" s="41">
        <f t="shared" si="11"/>
        <v>8040.2599999999993</v>
      </c>
      <c r="L178" s="42">
        <f>1950.4+7.2</f>
        <v>1957.6000000000001</v>
      </c>
      <c r="M178" s="42"/>
      <c r="N178" s="42">
        <v>1825.8</v>
      </c>
      <c r="O178" s="43">
        <f t="shared" si="9"/>
        <v>1884.8</v>
      </c>
      <c r="P178" s="42">
        <v>1593</v>
      </c>
      <c r="Q178" s="42">
        <v>226</v>
      </c>
      <c r="R178" s="42">
        <f>22.6+32.1+11.1</f>
        <v>65.8</v>
      </c>
      <c r="S178" s="76">
        <f t="shared" si="10"/>
        <v>9997.8599999999988</v>
      </c>
      <c r="T178" s="35" t="s">
        <v>335</v>
      </c>
      <c r="U178" s="34" t="s">
        <v>325</v>
      </c>
      <c r="V178" s="35" t="s">
        <v>334</v>
      </c>
      <c r="W178" s="35" t="s">
        <v>29</v>
      </c>
      <c r="X178" s="34" t="s">
        <v>29</v>
      </c>
      <c r="Y178" s="77" t="e">
        <f>#REF!-H178</f>
        <v>#REF!</v>
      </c>
      <c r="Z178" s="78" t="e">
        <f>#REF!-J178</f>
        <v>#REF!</v>
      </c>
      <c r="AA178" s="79" t="e">
        <f>#REF!-L178</f>
        <v>#REF!</v>
      </c>
      <c r="AB178" s="78" t="e">
        <f>#REF!-N178</f>
        <v>#REF!</v>
      </c>
      <c r="AC178" s="77" t="e">
        <f>(#REF!+#REF!)-S178</f>
        <v>#REF!</v>
      </c>
      <c r="AD178" s="80" t="e">
        <f>AC178/(#REF!+#REF!)*100</f>
        <v>#REF!</v>
      </c>
      <c r="AG178" s="81"/>
      <c r="AH178" s="33" t="s">
        <v>34</v>
      </c>
    </row>
    <row r="179" spans="1:34" s="69" customFormat="1" x14ac:dyDescent="0.3">
      <c r="A179" s="101">
        <v>175</v>
      </c>
      <c r="B179" s="34" t="s">
        <v>26</v>
      </c>
      <c r="C179" s="34" t="s">
        <v>323</v>
      </c>
      <c r="D179" s="35" t="s">
        <v>334</v>
      </c>
      <c r="E179" s="35" t="s">
        <v>31</v>
      </c>
      <c r="F179" s="36" t="s">
        <v>43</v>
      </c>
      <c r="G179" s="37"/>
      <c r="H179" s="38">
        <f t="shared" si="8"/>
        <v>276</v>
      </c>
      <c r="I179" s="39"/>
      <c r="J179" s="40">
        <v>223</v>
      </c>
      <c r="K179" s="41">
        <f t="shared" si="11"/>
        <v>223</v>
      </c>
      <c r="L179" s="42">
        <v>0</v>
      </c>
      <c r="M179" s="42"/>
      <c r="N179" s="42">
        <v>53</v>
      </c>
      <c r="O179" s="43">
        <f t="shared" si="9"/>
        <v>53</v>
      </c>
      <c r="P179" s="42">
        <v>53</v>
      </c>
      <c r="Q179" s="42"/>
      <c r="R179" s="42"/>
      <c r="S179" s="76">
        <f t="shared" si="10"/>
        <v>223</v>
      </c>
      <c r="T179" s="35" t="s">
        <v>336</v>
      </c>
      <c r="U179" s="34" t="s">
        <v>325</v>
      </c>
      <c r="V179" s="35" t="s">
        <v>334</v>
      </c>
      <c r="W179" s="35" t="s">
        <v>29</v>
      </c>
      <c r="X179" s="34" t="s">
        <v>29</v>
      </c>
      <c r="Y179" s="77" t="e">
        <f>#REF!-H179</f>
        <v>#REF!</v>
      </c>
      <c r="Z179" s="78" t="e">
        <f>#REF!-J179</f>
        <v>#REF!</v>
      </c>
      <c r="AA179" s="79" t="e">
        <f>#REF!-L179</f>
        <v>#REF!</v>
      </c>
      <c r="AB179" s="78" t="e">
        <f>#REF!-N179</f>
        <v>#REF!</v>
      </c>
      <c r="AC179" s="77" t="e">
        <f>(#REF!+#REF!)-S179</f>
        <v>#REF!</v>
      </c>
      <c r="AD179" s="80" t="e">
        <f>AC179/(#REF!+#REF!)*100</f>
        <v>#REF!</v>
      </c>
      <c r="AG179" s="81"/>
      <c r="AH179" s="33" t="s">
        <v>34</v>
      </c>
    </row>
    <row r="180" spans="1:34" x14ac:dyDescent="0.3">
      <c r="A180" s="75">
        <v>176</v>
      </c>
      <c r="B180" s="51" t="s">
        <v>337</v>
      </c>
      <c r="C180" s="51" t="s">
        <v>323</v>
      </c>
      <c r="D180" s="52" t="s">
        <v>338</v>
      </c>
      <c r="E180" s="52" t="s">
        <v>29</v>
      </c>
      <c r="F180" s="53" t="s">
        <v>43</v>
      </c>
      <c r="G180" s="54" t="s">
        <v>31</v>
      </c>
      <c r="H180" s="55">
        <f t="shared" si="8"/>
        <v>683.25</v>
      </c>
      <c r="I180" s="56"/>
      <c r="J180" s="57">
        <v>414.95</v>
      </c>
      <c r="K180" s="58">
        <f t="shared" si="11"/>
        <v>414.95</v>
      </c>
      <c r="L180" s="59">
        <v>175.3</v>
      </c>
      <c r="M180" s="59"/>
      <c r="N180" s="57">
        <v>93</v>
      </c>
      <c r="O180" s="60">
        <f t="shared" si="9"/>
        <v>93</v>
      </c>
      <c r="P180" s="57">
        <v>93</v>
      </c>
      <c r="Q180" s="57">
        <v>0</v>
      </c>
      <c r="R180" s="57"/>
      <c r="S180" s="61">
        <f t="shared" si="10"/>
        <v>590.25</v>
      </c>
      <c r="T180" s="52" t="s">
        <v>339</v>
      </c>
      <c r="U180" s="51" t="s">
        <v>325</v>
      </c>
      <c r="V180" s="52" t="s">
        <v>338</v>
      </c>
      <c r="W180" s="52" t="s">
        <v>29</v>
      </c>
      <c r="X180" s="51" t="s">
        <v>29</v>
      </c>
      <c r="Y180" s="62" t="e">
        <f>#REF!-H180</f>
        <v>#REF!</v>
      </c>
      <c r="Z180" s="63" t="e">
        <f>#REF!-J180</f>
        <v>#REF!</v>
      </c>
      <c r="AA180" s="64" t="e">
        <f>#REF!-L180</f>
        <v>#REF!</v>
      </c>
      <c r="AB180" s="63" t="e">
        <f>#REF!-N180</f>
        <v>#REF!</v>
      </c>
      <c r="AC180" s="62" t="e">
        <f>(#REF!+#REF!)-S180</f>
        <v>#REF!</v>
      </c>
      <c r="AD180" s="65" t="e">
        <f>AC180/(#REF!+#REF!)*100</f>
        <v>#REF!</v>
      </c>
      <c r="AE180" s="66"/>
      <c r="AF180" s="66"/>
      <c r="AG180" s="67"/>
      <c r="AH180" s="68" t="s">
        <v>39</v>
      </c>
    </row>
    <row r="181" spans="1:34" ht="21" x14ac:dyDescent="0.3">
      <c r="A181" s="75">
        <v>177</v>
      </c>
      <c r="B181" s="82" t="s">
        <v>340</v>
      </c>
      <c r="C181" s="82" t="s">
        <v>341</v>
      </c>
      <c r="D181" s="83" t="s">
        <v>241</v>
      </c>
      <c r="E181" s="83" t="s">
        <v>31</v>
      </c>
      <c r="F181" s="84" t="s">
        <v>342</v>
      </c>
      <c r="G181" s="85"/>
      <c r="H181" s="86">
        <f t="shared" si="8"/>
        <v>1991.25</v>
      </c>
      <c r="I181" s="87">
        <v>18.14</v>
      </c>
      <c r="J181" s="88">
        <f>1682.31-2.2</f>
        <v>1680.11</v>
      </c>
      <c r="K181" s="89">
        <f t="shared" si="11"/>
        <v>1698.25</v>
      </c>
      <c r="L181" s="90">
        <v>0</v>
      </c>
      <c r="M181" s="90"/>
      <c r="N181" s="88">
        <v>293</v>
      </c>
      <c r="O181" s="91">
        <f t="shared" si="9"/>
        <v>293</v>
      </c>
      <c r="P181" s="88">
        <v>293</v>
      </c>
      <c r="Q181" s="88"/>
      <c r="R181" s="88"/>
      <c r="S181" s="92">
        <f t="shared" si="10"/>
        <v>1698.25</v>
      </c>
      <c r="T181" s="93" t="s">
        <v>57</v>
      </c>
      <c r="U181" s="82" t="s">
        <v>343</v>
      </c>
      <c r="V181" s="83" t="s">
        <v>241</v>
      </c>
      <c r="W181" s="83" t="s">
        <v>29</v>
      </c>
      <c r="X181" s="82" t="s">
        <v>29</v>
      </c>
      <c r="Y181" s="94" t="e">
        <f>#REF!-H181</f>
        <v>#REF!</v>
      </c>
      <c r="Z181" s="95" t="e">
        <f>#REF!-J181</f>
        <v>#REF!</v>
      </c>
      <c r="AA181" s="96" t="e">
        <f>#REF!-L181</f>
        <v>#REF!</v>
      </c>
      <c r="AB181" s="95" t="e">
        <f>#REF!-N181</f>
        <v>#REF!</v>
      </c>
      <c r="AC181" s="94" t="e">
        <f>(#REF!+#REF!)-S181</f>
        <v>#REF!</v>
      </c>
      <c r="AD181" s="97" t="e">
        <f>AC181/(#REF!+#REF!)*100</f>
        <v>#REF!</v>
      </c>
      <c r="AE181" s="98"/>
      <c r="AF181" s="98"/>
      <c r="AG181" s="99"/>
      <c r="AH181" s="100" t="s">
        <v>167</v>
      </c>
    </row>
    <row r="182" spans="1:34" s="69" customFormat="1" ht="21" x14ac:dyDescent="0.3">
      <c r="A182" s="101">
        <v>178</v>
      </c>
      <c r="B182" s="82" t="s">
        <v>26</v>
      </c>
      <c r="C182" s="82" t="s">
        <v>341</v>
      </c>
      <c r="D182" s="83" t="s">
        <v>78</v>
      </c>
      <c r="E182" s="83" t="s">
        <v>29</v>
      </c>
      <c r="F182" s="84" t="s">
        <v>30</v>
      </c>
      <c r="G182" s="85"/>
      <c r="H182" s="86">
        <f t="shared" si="8"/>
        <v>2822.3</v>
      </c>
      <c r="I182" s="87"/>
      <c r="J182" s="88">
        <v>2509.9</v>
      </c>
      <c r="K182" s="89">
        <f t="shared" si="11"/>
        <v>2509.9</v>
      </c>
      <c r="L182" s="90">
        <v>0</v>
      </c>
      <c r="M182" s="90"/>
      <c r="N182" s="88">
        <v>274</v>
      </c>
      <c r="O182" s="91">
        <f t="shared" si="9"/>
        <v>312.39999999999998</v>
      </c>
      <c r="P182" s="88">
        <v>274</v>
      </c>
      <c r="Q182" s="88">
        <v>38.4</v>
      </c>
      <c r="R182" s="88"/>
      <c r="S182" s="92">
        <f t="shared" si="10"/>
        <v>2509.9</v>
      </c>
      <c r="T182" s="93" t="s">
        <v>57</v>
      </c>
      <c r="U182" s="82" t="s">
        <v>343</v>
      </c>
      <c r="V182" s="83" t="s">
        <v>78</v>
      </c>
      <c r="W182" s="83" t="s">
        <v>29</v>
      </c>
      <c r="X182" s="82" t="s">
        <v>29</v>
      </c>
      <c r="Y182" s="94" t="e">
        <f>#REF!-H182</f>
        <v>#REF!</v>
      </c>
      <c r="Z182" s="95" t="e">
        <f>#REF!-J182</f>
        <v>#REF!</v>
      </c>
      <c r="AA182" s="96" t="e">
        <f>#REF!-L182</f>
        <v>#REF!</v>
      </c>
      <c r="AB182" s="95" t="e">
        <f>#REF!-N182</f>
        <v>#REF!</v>
      </c>
      <c r="AC182" s="94" t="e">
        <f>(#REF!+#REF!)-S182</f>
        <v>#REF!</v>
      </c>
      <c r="AD182" s="97" t="e">
        <f>AC182/(#REF!+#REF!)*100</f>
        <v>#REF!</v>
      </c>
      <c r="AE182" s="98"/>
      <c r="AF182" s="98"/>
      <c r="AG182" s="99"/>
      <c r="AH182" s="100" t="s">
        <v>114</v>
      </c>
    </row>
    <row r="183" spans="1:34" s="69" customFormat="1" x14ac:dyDescent="0.3">
      <c r="A183" s="75">
        <v>179</v>
      </c>
      <c r="B183" s="34" t="s">
        <v>26</v>
      </c>
      <c r="C183" s="34" t="s">
        <v>341</v>
      </c>
      <c r="D183" s="35" t="s">
        <v>107</v>
      </c>
      <c r="E183" s="35" t="s">
        <v>29</v>
      </c>
      <c r="F183" s="36" t="s">
        <v>30</v>
      </c>
      <c r="G183" s="37"/>
      <c r="H183" s="38">
        <f t="shared" si="8"/>
        <v>4665.6399999999994</v>
      </c>
      <c r="I183" s="39"/>
      <c r="J183" s="40">
        <v>4161.24</v>
      </c>
      <c r="K183" s="41">
        <f t="shared" si="11"/>
        <v>4161.24</v>
      </c>
      <c r="L183" s="42">
        <v>0</v>
      </c>
      <c r="M183" s="42"/>
      <c r="N183" s="40">
        <v>498</v>
      </c>
      <c r="O183" s="43">
        <f t="shared" si="9"/>
        <v>504.4</v>
      </c>
      <c r="P183" s="40">
        <v>462</v>
      </c>
      <c r="Q183" s="40">
        <v>42.4</v>
      </c>
      <c r="R183" s="40"/>
      <c r="S183" s="76">
        <f t="shared" si="10"/>
        <v>4161.24</v>
      </c>
      <c r="T183" s="35" t="s">
        <v>344</v>
      </c>
      <c r="U183" s="34" t="s">
        <v>343</v>
      </c>
      <c r="V183" s="35" t="s">
        <v>107</v>
      </c>
      <c r="W183" s="35" t="s">
        <v>29</v>
      </c>
      <c r="X183" s="34" t="s">
        <v>29</v>
      </c>
      <c r="Y183" s="77" t="e">
        <f>#REF!-H183</f>
        <v>#REF!</v>
      </c>
      <c r="Z183" s="78" t="e">
        <f>#REF!-J183</f>
        <v>#REF!</v>
      </c>
      <c r="AA183" s="79" t="e">
        <f>#REF!-L183</f>
        <v>#REF!</v>
      </c>
      <c r="AB183" s="78" t="e">
        <f>#REF!-N183</f>
        <v>#REF!</v>
      </c>
      <c r="AC183" s="77" t="e">
        <f>(#REF!+#REF!)-S183</f>
        <v>#REF!</v>
      </c>
      <c r="AD183" s="80" t="e">
        <f>AC183/(#REF!+#REF!)*100</f>
        <v>#REF!</v>
      </c>
      <c r="AG183" s="81"/>
      <c r="AH183" s="33" t="s">
        <v>34</v>
      </c>
    </row>
    <row r="184" spans="1:34" s="69" customFormat="1" x14ac:dyDescent="0.3">
      <c r="A184" s="75">
        <v>180</v>
      </c>
      <c r="B184" s="34" t="s">
        <v>26</v>
      </c>
      <c r="C184" s="34" t="s">
        <v>341</v>
      </c>
      <c r="D184" s="35" t="s">
        <v>258</v>
      </c>
      <c r="E184" s="35" t="s">
        <v>29</v>
      </c>
      <c r="F184" s="36" t="s">
        <v>30</v>
      </c>
      <c r="G184" s="37"/>
      <c r="H184" s="38">
        <f t="shared" si="8"/>
        <v>2719.38</v>
      </c>
      <c r="I184" s="39"/>
      <c r="J184" s="40">
        <v>2363.2800000000002</v>
      </c>
      <c r="K184" s="41">
        <f t="shared" si="11"/>
        <v>2363.2800000000002</v>
      </c>
      <c r="L184" s="42">
        <v>0</v>
      </c>
      <c r="M184" s="42"/>
      <c r="N184" s="40">
        <v>327</v>
      </c>
      <c r="O184" s="43">
        <f t="shared" si="9"/>
        <v>356.1</v>
      </c>
      <c r="P184" s="40">
        <v>327</v>
      </c>
      <c r="Q184" s="40">
        <v>29.1</v>
      </c>
      <c r="R184" s="40"/>
      <c r="S184" s="76">
        <f t="shared" si="10"/>
        <v>2363.2800000000002</v>
      </c>
      <c r="T184" s="35" t="s">
        <v>345</v>
      </c>
      <c r="U184" s="34" t="s">
        <v>343</v>
      </c>
      <c r="V184" s="35" t="s">
        <v>258</v>
      </c>
      <c r="W184" s="35" t="s">
        <v>29</v>
      </c>
      <c r="X184" s="34" t="s">
        <v>29</v>
      </c>
      <c r="Y184" s="77" t="e">
        <f>#REF!-H184</f>
        <v>#REF!</v>
      </c>
      <c r="Z184" s="78" t="e">
        <f>#REF!-J184</f>
        <v>#REF!</v>
      </c>
      <c r="AA184" s="79" t="e">
        <f>#REF!-L184</f>
        <v>#REF!</v>
      </c>
      <c r="AB184" s="78" t="e">
        <f>#REF!-N184</f>
        <v>#REF!</v>
      </c>
      <c r="AC184" s="77" t="e">
        <f>(#REF!+#REF!)-S184</f>
        <v>#REF!</v>
      </c>
      <c r="AD184" s="80" t="e">
        <f>AC184/(#REF!+#REF!)*100</f>
        <v>#REF!</v>
      </c>
      <c r="AG184" s="81"/>
      <c r="AH184" s="33" t="s">
        <v>34</v>
      </c>
    </row>
    <row r="185" spans="1:34" s="69" customFormat="1" x14ac:dyDescent="0.3">
      <c r="A185" s="75">
        <v>181</v>
      </c>
      <c r="B185" s="34" t="s">
        <v>26</v>
      </c>
      <c r="C185" s="34" t="s">
        <v>341</v>
      </c>
      <c r="D185" s="35" t="s">
        <v>200</v>
      </c>
      <c r="E185" s="35" t="s">
        <v>29</v>
      </c>
      <c r="F185" s="36" t="s">
        <v>30</v>
      </c>
      <c r="G185" s="37"/>
      <c r="H185" s="38">
        <f t="shared" si="8"/>
        <v>6635.96</v>
      </c>
      <c r="I185" s="39"/>
      <c r="J185" s="40">
        <v>5606.76</v>
      </c>
      <c r="K185" s="41">
        <f t="shared" si="11"/>
        <v>5606.76</v>
      </c>
      <c r="L185" s="42">
        <f>251.1-18.3</f>
        <v>232.79999999999998</v>
      </c>
      <c r="M185" s="42"/>
      <c r="N185" s="40">
        <v>713</v>
      </c>
      <c r="O185" s="43">
        <f t="shared" si="9"/>
        <v>796.4</v>
      </c>
      <c r="P185" s="40">
        <v>713</v>
      </c>
      <c r="Q185" s="40">
        <f>24.5+58.9</f>
        <v>83.4</v>
      </c>
      <c r="R185" s="40"/>
      <c r="S185" s="76">
        <f t="shared" si="10"/>
        <v>5839.56</v>
      </c>
      <c r="T185" s="35" t="s">
        <v>346</v>
      </c>
      <c r="U185" s="34" t="s">
        <v>343</v>
      </c>
      <c r="V185" s="35" t="s">
        <v>200</v>
      </c>
      <c r="W185" s="35" t="s">
        <v>29</v>
      </c>
      <c r="X185" s="34" t="s">
        <v>29</v>
      </c>
      <c r="Y185" s="77" t="e">
        <f>#REF!-H185</f>
        <v>#REF!</v>
      </c>
      <c r="Z185" s="78" t="e">
        <f>#REF!-J185</f>
        <v>#REF!</v>
      </c>
      <c r="AA185" s="79" t="e">
        <f>#REF!-L185</f>
        <v>#REF!</v>
      </c>
      <c r="AB185" s="78" t="e">
        <f>#REF!-N185</f>
        <v>#REF!</v>
      </c>
      <c r="AC185" s="77" t="e">
        <f>(#REF!+#REF!)-S185</f>
        <v>#REF!</v>
      </c>
      <c r="AD185" s="80" t="e">
        <f>AC185/(#REF!+#REF!)*100</f>
        <v>#REF!</v>
      </c>
      <c r="AG185" s="81"/>
      <c r="AH185" s="33" t="s">
        <v>34</v>
      </c>
    </row>
    <row r="186" spans="1:34" s="69" customFormat="1" x14ac:dyDescent="0.3">
      <c r="A186" s="101">
        <v>182</v>
      </c>
      <c r="B186" s="34" t="s">
        <v>26</v>
      </c>
      <c r="C186" s="34" t="s">
        <v>341</v>
      </c>
      <c r="D186" s="35" t="s">
        <v>205</v>
      </c>
      <c r="E186" s="35" t="s">
        <v>31</v>
      </c>
      <c r="F186" s="36" t="s">
        <v>30</v>
      </c>
      <c r="G186" s="37"/>
      <c r="H186" s="38">
        <f t="shared" si="8"/>
        <v>4866.3799999999992</v>
      </c>
      <c r="I186" s="39"/>
      <c r="J186" s="40">
        <v>4435.4799999999996</v>
      </c>
      <c r="K186" s="41">
        <f t="shared" si="11"/>
        <v>4435.4799999999996</v>
      </c>
      <c r="L186" s="42">
        <v>0</v>
      </c>
      <c r="M186" s="42"/>
      <c r="N186" s="40">
        <v>427</v>
      </c>
      <c r="O186" s="43">
        <f t="shared" si="9"/>
        <v>430.9</v>
      </c>
      <c r="P186" s="40">
        <v>391</v>
      </c>
      <c r="Q186" s="40">
        <v>39.9</v>
      </c>
      <c r="R186" s="40"/>
      <c r="S186" s="76">
        <f t="shared" si="10"/>
        <v>4435.4799999999996</v>
      </c>
      <c r="T186" s="35" t="s">
        <v>347</v>
      </c>
      <c r="U186" s="34" t="s">
        <v>343</v>
      </c>
      <c r="V186" s="35" t="s">
        <v>205</v>
      </c>
      <c r="W186" s="35" t="s">
        <v>31</v>
      </c>
      <c r="X186" s="34" t="s">
        <v>29</v>
      </c>
      <c r="Y186" s="77" t="e">
        <f>#REF!-H186</f>
        <v>#REF!</v>
      </c>
      <c r="Z186" s="78" t="e">
        <f>#REF!-J186</f>
        <v>#REF!</v>
      </c>
      <c r="AA186" s="79" t="e">
        <f>#REF!-L186</f>
        <v>#REF!</v>
      </c>
      <c r="AB186" s="78" t="e">
        <f>#REF!-N186</f>
        <v>#REF!</v>
      </c>
      <c r="AC186" s="77" t="e">
        <f>(#REF!+#REF!)-S186</f>
        <v>#REF!</v>
      </c>
      <c r="AD186" s="80" t="e">
        <f>AC186/(#REF!+#REF!)*100</f>
        <v>#REF!</v>
      </c>
      <c r="AG186" s="81"/>
      <c r="AH186" s="33" t="s">
        <v>34</v>
      </c>
    </row>
    <row r="187" spans="1:34" s="69" customFormat="1" x14ac:dyDescent="0.3">
      <c r="A187" s="75">
        <v>183</v>
      </c>
      <c r="B187" s="34" t="s">
        <v>26</v>
      </c>
      <c r="C187" s="34" t="s">
        <v>341</v>
      </c>
      <c r="D187" s="35" t="s">
        <v>113</v>
      </c>
      <c r="E187" s="35" t="s">
        <v>31</v>
      </c>
      <c r="F187" s="36" t="s">
        <v>30</v>
      </c>
      <c r="G187" s="37"/>
      <c r="H187" s="38">
        <f t="shared" si="8"/>
        <v>4587.74</v>
      </c>
      <c r="I187" s="39"/>
      <c r="J187" s="40">
        <v>4187.54</v>
      </c>
      <c r="K187" s="41">
        <f t="shared" si="11"/>
        <v>4187.54</v>
      </c>
      <c r="L187" s="42">
        <v>0</v>
      </c>
      <c r="M187" s="42"/>
      <c r="N187" s="40">
        <v>465.9</v>
      </c>
      <c r="O187" s="43">
        <f t="shared" si="9"/>
        <v>400.2</v>
      </c>
      <c r="P187" s="40">
        <v>379.3</v>
      </c>
      <c r="Q187" s="40">
        <v>20.9</v>
      </c>
      <c r="R187" s="40"/>
      <c r="S187" s="76">
        <f t="shared" si="10"/>
        <v>4187.54</v>
      </c>
      <c r="T187" s="35" t="s">
        <v>348</v>
      </c>
      <c r="U187" s="34" t="s">
        <v>343</v>
      </c>
      <c r="V187" s="35" t="s">
        <v>113</v>
      </c>
      <c r="W187" s="35" t="s">
        <v>31</v>
      </c>
      <c r="X187" s="34" t="s">
        <v>29</v>
      </c>
      <c r="Y187" s="77" t="e">
        <f>#REF!-H187</f>
        <v>#REF!</v>
      </c>
      <c r="Z187" s="78" t="e">
        <f>#REF!-J187</f>
        <v>#REF!</v>
      </c>
      <c r="AA187" s="79" t="e">
        <f>#REF!-L187</f>
        <v>#REF!</v>
      </c>
      <c r="AB187" s="78" t="e">
        <f>#REF!-N187</f>
        <v>#REF!</v>
      </c>
      <c r="AC187" s="77" t="e">
        <f>(#REF!+#REF!)-S187</f>
        <v>#REF!</v>
      </c>
      <c r="AD187" s="80" t="e">
        <f>AC187/(#REF!+#REF!)*100</f>
        <v>#REF!</v>
      </c>
      <c r="AG187" s="81"/>
      <c r="AH187" s="33" t="s">
        <v>34</v>
      </c>
    </row>
    <row r="188" spans="1:34" s="69" customFormat="1" x14ac:dyDescent="0.3">
      <c r="A188" s="75">
        <v>184</v>
      </c>
      <c r="B188" s="34" t="s">
        <v>26</v>
      </c>
      <c r="C188" s="34" t="s">
        <v>341</v>
      </c>
      <c r="D188" s="35" t="s">
        <v>113</v>
      </c>
      <c r="E188" s="35" t="s">
        <v>161</v>
      </c>
      <c r="F188" s="36" t="s">
        <v>43</v>
      </c>
      <c r="G188" s="37"/>
      <c r="H188" s="38">
        <f t="shared" si="8"/>
        <v>4646.91</v>
      </c>
      <c r="I188" s="39"/>
      <c r="J188" s="40">
        <v>4163.71</v>
      </c>
      <c r="K188" s="41">
        <f t="shared" si="11"/>
        <v>4163.71</v>
      </c>
      <c r="L188" s="42">
        <v>0</v>
      </c>
      <c r="M188" s="42"/>
      <c r="N188" s="40">
        <v>483.2</v>
      </c>
      <c r="O188" s="43">
        <f t="shared" si="9"/>
        <v>483.2</v>
      </c>
      <c r="P188" s="40">
        <v>433</v>
      </c>
      <c r="Q188" s="40">
        <v>50.2</v>
      </c>
      <c r="R188" s="40"/>
      <c r="S188" s="76">
        <f t="shared" si="10"/>
        <v>4163.71</v>
      </c>
      <c r="T188" s="35" t="s">
        <v>349</v>
      </c>
      <c r="U188" s="34" t="s">
        <v>343</v>
      </c>
      <c r="V188" s="35" t="s">
        <v>113</v>
      </c>
      <c r="W188" s="35" t="s">
        <v>161</v>
      </c>
      <c r="X188" s="34" t="s">
        <v>29</v>
      </c>
      <c r="Y188" s="77" t="e">
        <f>#REF!-H188</f>
        <v>#REF!</v>
      </c>
      <c r="Z188" s="78" t="e">
        <f>#REF!-J188</f>
        <v>#REF!</v>
      </c>
      <c r="AA188" s="79" t="e">
        <f>#REF!-L188</f>
        <v>#REF!</v>
      </c>
      <c r="AB188" s="78" t="e">
        <f>#REF!-N188</f>
        <v>#REF!</v>
      </c>
      <c r="AC188" s="77" t="e">
        <f>(#REF!+#REF!)-S188</f>
        <v>#REF!</v>
      </c>
      <c r="AD188" s="80" t="e">
        <f>AC188/(#REF!+#REF!)*100</f>
        <v>#REF!</v>
      </c>
      <c r="AG188" s="81"/>
      <c r="AH188" s="33" t="s">
        <v>34</v>
      </c>
    </row>
    <row r="189" spans="1:34" s="69" customFormat="1" x14ac:dyDescent="0.3">
      <c r="A189" s="101">
        <v>185</v>
      </c>
      <c r="B189" s="34" t="s">
        <v>26</v>
      </c>
      <c r="C189" s="34" t="s">
        <v>341</v>
      </c>
      <c r="D189" s="35" t="s">
        <v>113</v>
      </c>
      <c r="E189" s="35" t="s">
        <v>241</v>
      </c>
      <c r="F189" s="36" t="s">
        <v>56</v>
      </c>
      <c r="G189" s="37"/>
      <c r="H189" s="38">
        <f t="shared" si="8"/>
        <v>4665.4799999999996</v>
      </c>
      <c r="I189" s="39"/>
      <c r="J189" s="40">
        <v>4197.28</v>
      </c>
      <c r="K189" s="41">
        <f t="shared" si="11"/>
        <v>4197.28</v>
      </c>
      <c r="L189" s="42">
        <v>0</v>
      </c>
      <c r="M189" s="42"/>
      <c r="N189" s="40">
        <v>468.2</v>
      </c>
      <c r="O189" s="43">
        <f t="shared" si="9"/>
        <v>468.2</v>
      </c>
      <c r="P189" s="40">
        <v>448</v>
      </c>
      <c r="Q189" s="40">
        <v>20.2</v>
      </c>
      <c r="R189" s="40"/>
      <c r="S189" s="76">
        <f t="shared" si="10"/>
        <v>4197.28</v>
      </c>
      <c r="T189" s="35" t="s">
        <v>350</v>
      </c>
      <c r="U189" s="34" t="s">
        <v>343</v>
      </c>
      <c r="V189" s="35" t="s">
        <v>113</v>
      </c>
      <c r="W189" s="35" t="s">
        <v>241</v>
      </c>
      <c r="X189" s="34" t="s">
        <v>29</v>
      </c>
      <c r="Y189" s="77" t="e">
        <f>#REF!-H189</f>
        <v>#REF!</v>
      </c>
      <c r="Z189" s="78" t="e">
        <f>#REF!-J189</f>
        <v>#REF!</v>
      </c>
      <c r="AA189" s="79" t="e">
        <f>#REF!-L189</f>
        <v>#REF!</v>
      </c>
      <c r="AB189" s="78" t="e">
        <f>#REF!-N189</f>
        <v>#REF!</v>
      </c>
      <c r="AC189" s="77" t="e">
        <f>(#REF!+#REF!)-S189</f>
        <v>#REF!</v>
      </c>
      <c r="AD189" s="80" t="e">
        <f>AC189/(#REF!+#REF!)*100</f>
        <v>#REF!</v>
      </c>
      <c r="AG189" s="81"/>
      <c r="AH189" s="33" t="s">
        <v>34</v>
      </c>
    </row>
    <row r="190" spans="1:34" s="69" customFormat="1" x14ac:dyDescent="0.3">
      <c r="A190" s="75">
        <v>186</v>
      </c>
      <c r="B190" s="34" t="s">
        <v>26</v>
      </c>
      <c r="C190" s="34" t="s">
        <v>341</v>
      </c>
      <c r="D190" s="35" t="s">
        <v>115</v>
      </c>
      <c r="E190" s="35" t="s">
        <v>31</v>
      </c>
      <c r="F190" s="36" t="s">
        <v>30</v>
      </c>
      <c r="G190" s="37"/>
      <c r="H190" s="38">
        <f t="shared" si="8"/>
        <v>3829.12</v>
      </c>
      <c r="I190" s="39"/>
      <c r="J190" s="40">
        <v>3459.72</v>
      </c>
      <c r="K190" s="41">
        <f t="shared" si="11"/>
        <v>3459.72</v>
      </c>
      <c r="L190" s="42">
        <v>0</v>
      </c>
      <c r="M190" s="42"/>
      <c r="N190" s="40">
        <v>355</v>
      </c>
      <c r="O190" s="43">
        <f t="shared" si="9"/>
        <v>369.4</v>
      </c>
      <c r="P190" s="40">
        <v>355</v>
      </c>
      <c r="Q190" s="40">
        <v>14.4</v>
      </c>
      <c r="R190" s="40"/>
      <c r="S190" s="76">
        <f t="shared" si="10"/>
        <v>3459.72</v>
      </c>
      <c r="T190" s="35" t="s">
        <v>351</v>
      </c>
      <c r="U190" s="34" t="s">
        <v>343</v>
      </c>
      <c r="V190" s="35" t="s">
        <v>115</v>
      </c>
      <c r="W190" s="35" t="s">
        <v>31</v>
      </c>
      <c r="X190" s="34" t="s">
        <v>29</v>
      </c>
      <c r="Y190" s="77" t="e">
        <f>#REF!-H190</f>
        <v>#REF!</v>
      </c>
      <c r="Z190" s="78" t="e">
        <f>#REF!-J190</f>
        <v>#REF!</v>
      </c>
      <c r="AA190" s="79" t="e">
        <f>#REF!-L190</f>
        <v>#REF!</v>
      </c>
      <c r="AB190" s="78" t="e">
        <f>#REF!-N190</f>
        <v>#REF!</v>
      </c>
      <c r="AC190" s="77" t="e">
        <f>(#REF!+#REF!)-S190</f>
        <v>#REF!</v>
      </c>
      <c r="AD190" s="80" t="e">
        <f>AC190/(#REF!+#REF!)*100</f>
        <v>#REF!</v>
      </c>
      <c r="AG190" s="81"/>
      <c r="AH190" s="33" t="s">
        <v>34</v>
      </c>
    </row>
    <row r="191" spans="1:34" s="69" customFormat="1" x14ac:dyDescent="0.3">
      <c r="A191" s="75">
        <v>187</v>
      </c>
      <c r="B191" s="34" t="s">
        <v>26</v>
      </c>
      <c r="C191" s="34" t="s">
        <v>341</v>
      </c>
      <c r="D191" s="35" t="s">
        <v>115</v>
      </c>
      <c r="E191" s="35" t="s">
        <v>241</v>
      </c>
      <c r="F191" s="36" t="s">
        <v>352</v>
      </c>
      <c r="G191" s="37"/>
      <c r="H191" s="38">
        <f t="shared" si="8"/>
        <v>3905.7</v>
      </c>
      <c r="I191" s="39"/>
      <c r="J191" s="40">
        <v>3509.6</v>
      </c>
      <c r="K191" s="41">
        <f t="shared" si="11"/>
        <v>3509.6</v>
      </c>
      <c r="L191" s="42">
        <v>0</v>
      </c>
      <c r="M191" s="42"/>
      <c r="N191" s="40">
        <v>305</v>
      </c>
      <c r="O191" s="43">
        <f t="shared" si="9"/>
        <v>396.1</v>
      </c>
      <c r="P191" s="40">
        <v>360</v>
      </c>
      <c r="Q191" s="40">
        <v>36.1</v>
      </c>
      <c r="R191" s="40"/>
      <c r="S191" s="76">
        <f t="shared" si="10"/>
        <v>3509.6</v>
      </c>
      <c r="T191" s="35" t="s">
        <v>353</v>
      </c>
      <c r="U191" s="34" t="s">
        <v>343</v>
      </c>
      <c r="V191" s="35" t="s">
        <v>115</v>
      </c>
      <c r="W191" s="35" t="s">
        <v>241</v>
      </c>
      <c r="X191" s="34" t="s">
        <v>29</v>
      </c>
      <c r="Y191" s="77" t="e">
        <f>#REF!-H191</f>
        <v>#REF!</v>
      </c>
      <c r="Z191" s="78" t="e">
        <f>#REF!-J191</f>
        <v>#REF!</v>
      </c>
      <c r="AA191" s="79"/>
      <c r="AB191" s="78" t="e">
        <f>#REF!-N191</f>
        <v>#REF!</v>
      </c>
      <c r="AC191" s="77" t="e">
        <f>(#REF!+#REF!)-S191</f>
        <v>#REF!</v>
      </c>
      <c r="AD191" s="80" t="e">
        <f>AC191/(#REF!+#REF!)*100</f>
        <v>#REF!</v>
      </c>
      <c r="AG191" s="81"/>
      <c r="AH191" s="33" t="s">
        <v>34</v>
      </c>
    </row>
    <row r="192" spans="1:34" s="69" customFormat="1" x14ac:dyDescent="0.3">
      <c r="A192" s="101">
        <v>188</v>
      </c>
      <c r="B192" s="34" t="s">
        <v>26</v>
      </c>
      <c r="C192" s="34" t="s">
        <v>341</v>
      </c>
      <c r="D192" s="35" t="s">
        <v>354</v>
      </c>
      <c r="E192" s="35" t="s">
        <v>31</v>
      </c>
      <c r="F192" s="36" t="s">
        <v>30</v>
      </c>
      <c r="G192" s="37"/>
      <c r="H192" s="38">
        <f t="shared" si="8"/>
        <v>1864.06</v>
      </c>
      <c r="I192" s="39"/>
      <c r="J192" s="40">
        <v>1606.16</v>
      </c>
      <c r="K192" s="41">
        <f t="shared" si="11"/>
        <v>1606.16</v>
      </c>
      <c r="L192" s="42">
        <v>0</v>
      </c>
      <c r="M192" s="42"/>
      <c r="N192" s="40">
        <v>179</v>
      </c>
      <c r="O192" s="43">
        <f t="shared" si="9"/>
        <v>257.89999999999998</v>
      </c>
      <c r="P192" s="40">
        <v>179</v>
      </c>
      <c r="Q192" s="40">
        <v>78.900000000000006</v>
      </c>
      <c r="R192" s="40"/>
      <c r="S192" s="76">
        <f t="shared" si="10"/>
        <v>1606.16</v>
      </c>
      <c r="T192" s="35" t="s">
        <v>355</v>
      </c>
      <c r="U192" s="34" t="s">
        <v>343</v>
      </c>
      <c r="V192" s="35" t="s">
        <v>354</v>
      </c>
      <c r="W192" s="35" t="s">
        <v>31</v>
      </c>
      <c r="X192" s="34" t="s">
        <v>29</v>
      </c>
      <c r="Y192" s="77" t="e">
        <f>#REF!-H192</f>
        <v>#REF!</v>
      </c>
      <c r="Z192" s="78" t="e">
        <f>#REF!-J192</f>
        <v>#REF!</v>
      </c>
      <c r="AA192" s="79" t="e">
        <f>#REF!-L192</f>
        <v>#REF!</v>
      </c>
      <c r="AB192" s="78" t="e">
        <f>#REF!-N192</f>
        <v>#REF!</v>
      </c>
      <c r="AC192" s="77" t="e">
        <f>(#REF!+#REF!)-S192</f>
        <v>#REF!</v>
      </c>
      <c r="AD192" s="80" t="e">
        <f>AC192/(#REF!+#REF!)*100</f>
        <v>#REF!</v>
      </c>
      <c r="AG192" s="81"/>
      <c r="AH192" s="33" t="s">
        <v>34</v>
      </c>
    </row>
    <row r="193" spans="1:34" s="69" customFormat="1" x14ac:dyDescent="0.3">
      <c r="A193" s="75">
        <v>189</v>
      </c>
      <c r="B193" s="34" t="s">
        <v>26</v>
      </c>
      <c r="C193" s="34" t="s">
        <v>341</v>
      </c>
      <c r="D193" s="35" t="s">
        <v>354</v>
      </c>
      <c r="E193" s="35" t="s">
        <v>161</v>
      </c>
      <c r="F193" s="36" t="s">
        <v>43</v>
      </c>
      <c r="G193" s="37"/>
      <c r="H193" s="38">
        <f t="shared" si="8"/>
        <v>2865.25</v>
      </c>
      <c r="I193" s="39"/>
      <c r="J193" s="40">
        <v>2572.0500000000002</v>
      </c>
      <c r="K193" s="41">
        <f t="shared" si="11"/>
        <v>2572.0500000000002</v>
      </c>
      <c r="L193" s="42">
        <v>0</v>
      </c>
      <c r="M193" s="42"/>
      <c r="N193" s="40">
        <v>293.16000000000003</v>
      </c>
      <c r="O193" s="43">
        <f t="shared" si="9"/>
        <v>293.2</v>
      </c>
      <c r="P193" s="40">
        <v>263</v>
      </c>
      <c r="Q193" s="40">
        <v>30.2</v>
      </c>
      <c r="R193" s="40"/>
      <c r="S193" s="76">
        <f t="shared" si="10"/>
        <v>2572.0500000000002</v>
      </c>
      <c r="T193" s="35" t="s">
        <v>356</v>
      </c>
      <c r="U193" s="34" t="s">
        <v>343</v>
      </c>
      <c r="V193" s="35" t="s">
        <v>354</v>
      </c>
      <c r="W193" s="35" t="s">
        <v>161</v>
      </c>
      <c r="X193" s="34" t="s">
        <v>29</v>
      </c>
      <c r="Y193" s="77" t="e">
        <f>#REF!-H193</f>
        <v>#REF!</v>
      </c>
      <c r="Z193" s="78" t="e">
        <f>#REF!-J193</f>
        <v>#REF!</v>
      </c>
      <c r="AA193" s="79" t="e">
        <f>#REF!-L193</f>
        <v>#REF!</v>
      </c>
      <c r="AB193" s="78" t="e">
        <f>#REF!-N193</f>
        <v>#REF!</v>
      </c>
      <c r="AC193" s="77" t="e">
        <f>(#REF!+#REF!)-S193</f>
        <v>#REF!</v>
      </c>
      <c r="AD193" s="80" t="e">
        <f>AC193/(#REF!+#REF!)*100</f>
        <v>#REF!</v>
      </c>
      <c r="AG193" s="81"/>
      <c r="AH193" s="33" t="s">
        <v>34</v>
      </c>
    </row>
    <row r="194" spans="1:34" s="69" customFormat="1" x14ac:dyDescent="0.3">
      <c r="A194" s="75">
        <v>190</v>
      </c>
      <c r="B194" s="34" t="s">
        <v>26</v>
      </c>
      <c r="C194" s="34" t="s">
        <v>341</v>
      </c>
      <c r="D194" s="35" t="s">
        <v>120</v>
      </c>
      <c r="E194" s="35" t="s">
        <v>31</v>
      </c>
      <c r="F194" s="36" t="s">
        <v>30</v>
      </c>
      <c r="G194" s="37" t="s">
        <v>31</v>
      </c>
      <c r="H194" s="38">
        <f t="shared" si="8"/>
        <v>5865.05</v>
      </c>
      <c r="I194" s="39"/>
      <c r="J194" s="40">
        <v>4927.3500000000004</v>
      </c>
      <c r="K194" s="41">
        <f t="shared" si="11"/>
        <v>4927.3500000000004</v>
      </c>
      <c r="L194" s="42">
        <v>0</v>
      </c>
      <c r="M194" s="42"/>
      <c r="N194" s="40">
        <v>1111.7</v>
      </c>
      <c r="O194" s="43">
        <f t="shared" si="9"/>
        <v>937.7</v>
      </c>
      <c r="P194" s="40">
        <v>814</v>
      </c>
      <c r="Q194" s="40">
        <v>123.7</v>
      </c>
      <c r="R194" s="40"/>
      <c r="S194" s="76">
        <f t="shared" si="10"/>
        <v>4927.3500000000004</v>
      </c>
      <c r="T194" s="35" t="s">
        <v>357</v>
      </c>
      <c r="U194" s="34" t="s">
        <v>343</v>
      </c>
      <c r="V194" s="35" t="s">
        <v>120</v>
      </c>
      <c r="W194" s="35" t="s">
        <v>31</v>
      </c>
      <c r="X194" s="34" t="s">
        <v>29</v>
      </c>
      <c r="Y194" s="77" t="e">
        <f>#REF!-H194</f>
        <v>#REF!</v>
      </c>
      <c r="Z194" s="78" t="e">
        <f>#REF!-J194</f>
        <v>#REF!</v>
      </c>
      <c r="AA194" s="79" t="e">
        <f>#REF!-L194</f>
        <v>#REF!</v>
      </c>
      <c r="AB194" s="78" t="e">
        <f>#REF!-N194</f>
        <v>#REF!</v>
      </c>
      <c r="AC194" s="77" t="e">
        <f>(#REF!+#REF!)-S194</f>
        <v>#REF!</v>
      </c>
      <c r="AD194" s="80" t="e">
        <f>AC194/(#REF!+#REF!)*100</f>
        <v>#REF!</v>
      </c>
      <c r="AG194" s="81"/>
      <c r="AH194" s="33" t="s">
        <v>34</v>
      </c>
    </row>
    <row r="195" spans="1:34" s="69" customFormat="1" ht="21" x14ac:dyDescent="0.3">
      <c r="A195" s="75">
        <v>191</v>
      </c>
      <c r="B195" s="82" t="s">
        <v>26</v>
      </c>
      <c r="C195" s="82" t="s">
        <v>341</v>
      </c>
      <c r="D195" s="83" t="s">
        <v>120</v>
      </c>
      <c r="E195" s="83" t="s">
        <v>241</v>
      </c>
      <c r="F195" s="84" t="s">
        <v>30</v>
      </c>
      <c r="G195" s="85" t="s">
        <v>31</v>
      </c>
      <c r="H195" s="86">
        <f t="shared" si="8"/>
        <v>7110.72</v>
      </c>
      <c r="I195" s="87"/>
      <c r="J195" s="88">
        <f>6063.02+18.7</f>
        <v>6081.72</v>
      </c>
      <c r="K195" s="89">
        <f t="shared" si="11"/>
        <v>6081.72</v>
      </c>
      <c r="L195" s="90">
        <v>573.70000000000005</v>
      </c>
      <c r="M195" s="90">
        <f>73.2+124.7</f>
        <v>197.9</v>
      </c>
      <c r="N195" s="88"/>
      <c r="O195" s="91">
        <f t="shared" si="9"/>
        <v>455.3</v>
      </c>
      <c r="P195" s="88">
        <v>376</v>
      </c>
      <c r="Q195" s="88">
        <v>79.3</v>
      </c>
      <c r="R195" s="88"/>
      <c r="S195" s="92">
        <f t="shared" si="10"/>
        <v>6655.42</v>
      </c>
      <c r="T195" s="93" t="s">
        <v>57</v>
      </c>
      <c r="U195" s="82"/>
      <c r="V195" s="83"/>
      <c r="W195" s="83"/>
      <c r="X195" s="82"/>
      <c r="Y195" s="94"/>
      <c r="Z195" s="95"/>
      <c r="AA195" s="96"/>
      <c r="AB195" s="95"/>
      <c r="AC195" s="94"/>
      <c r="AD195" s="97"/>
      <c r="AE195" s="98"/>
      <c r="AF195" s="98"/>
      <c r="AG195" s="99"/>
      <c r="AH195" s="100" t="s">
        <v>114</v>
      </c>
    </row>
    <row r="196" spans="1:34" s="69" customFormat="1" ht="21" x14ac:dyDescent="0.3">
      <c r="A196" s="101">
        <v>192</v>
      </c>
      <c r="B196" s="82" t="s">
        <v>26</v>
      </c>
      <c r="C196" s="82" t="s">
        <v>341</v>
      </c>
      <c r="D196" s="83" t="s">
        <v>124</v>
      </c>
      <c r="E196" s="83" t="s">
        <v>29</v>
      </c>
      <c r="F196" s="84" t="s">
        <v>30</v>
      </c>
      <c r="G196" s="85" t="s">
        <v>31</v>
      </c>
      <c r="H196" s="86">
        <f t="shared" si="8"/>
        <v>6069.6399999999994</v>
      </c>
      <c r="I196" s="87">
        <v>0</v>
      </c>
      <c r="J196" s="88">
        <v>4957.4399999999996</v>
      </c>
      <c r="K196" s="89">
        <f t="shared" si="11"/>
        <v>4957.4399999999996</v>
      </c>
      <c r="L196" s="90">
        <v>0</v>
      </c>
      <c r="M196" s="90"/>
      <c r="N196" s="88">
        <v>1286.22</v>
      </c>
      <c r="O196" s="91">
        <f t="shared" si="9"/>
        <v>1112.2</v>
      </c>
      <c r="P196" s="88">
        <v>988</v>
      </c>
      <c r="Q196" s="88">
        <v>124.2</v>
      </c>
      <c r="R196" s="88"/>
      <c r="S196" s="92">
        <f t="shared" si="10"/>
        <v>4957.4399999999996</v>
      </c>
      <c r="T196" s="93" t="s">
        <v>57</v>
      </c>
      <c r="U196" s="82" t="s">
        <v>343</v>
      </c>
      <c r="V196" s="83" t="s">
        <v>124</v>
      </c>
      <c r="W196" s="83" t="s">
        <v>29</v>
      </c>
      <c r="X196" s="82" t="s">
        <v>29</v>
      </c>
      <c r="Y196" s="94" t="e">
        <f>#REF!-H196</f>
        <v>#REF!</v>
      </c>
      <c r="Z196" s="95" t="e">
        <f>#REF!-J196</f>
        <v>#REF!</v>
      </c>
      <c r="AA196" s="96" t="e">
        <f>#REF!-L196</f>
        <v>#REF!</v>
      </c>
      <c r="AB196" s="95" t="e">
        <f>#REF!-N196</f>
        <v>#REF!</v>
      </c>
      <c r="AC196" s="94" t="e">
        <f>(#REF!+#REF!)-S196</f>
        <v>#REF!</v>
      </c>
      <c r="AD196" s="97" t="e">
        <f>AC196/(#REF!+#REF!)*100</f>
        <v>#REF!</v>
      </c>
      <c r="AE196" s="98"/>
      <c r="AF196" s="98"/>
      <c r="AG196" s="99"/>
      <c r="AH196" s="100" t="s">
        <v>95</v>
      </c>
    </row>
    <row r="197" spans="1:34" s="69" customFormat="1" x14ac:dyDescent="0.3">
      <c r="A197" s="75">
        <v>193</v>
      </c>
      <c r="B197" s="34" t="s">
        <v>26</v>
      </c>
      <c r="C197" s="34" t="s">
        <v>358</v>
      </c>
      <c r="D197" s="35" t="s">
        <v>107</v>
      </c>
      <c r="E197" s="35" t="s">
        <v>31</v>
      </c>
      <c r="F197" s="36" t="s">
        <v>30</v>
      </c>
      <c r="G197" s="37" t="s">
        <v>31</v>
      </c>
      <c r="H197" s="38">
        <f t="shared" ref="H197:H249" si="12">O197+S197</f>
        <v>33401.760000000002</v>
      </c>
      <c r="I197" s="39">
        <v>0</v>
      </c>
      <c r="J197" s="40">
        <v>29192.71</v>
      </c>
      <c r="K197" s="41">
        <f t="shared" si="11"/>
        <v>29192.71</v>
      </c>
      <c r="L197" s="42">
        <v>0</v>
      </c>
      <c r="M197" s="42"/>
      <c r="N197" s="40">
        <v>4194.72</v>
      </c>
      <c r="O197" s="43">
        <f t="shared" ref="O197:O212" si="13">P197+Q197+R197</f>
        <v>4209.05</v>
      </c>
      <c r="P197" s="40">
        <v>3737</v>
      </c>
      <c r="Q197" s="40">
        <v>472.05</v>
      </c>
      <c r="R197" s="40"/>
      <c r="S197" s="76">
        <f t="shared" ref="S197:S249" si="14">J197+L197+I197</f>
        <v>29192.71</v>
      </c>
      <c r="T197" s="35" t="s">
        <v>359</v>
      </c>
      <c r="U197" s="34" t="s">
        <v>360</v>
      </c>
      <c r="V197" s="35" t="s">
        <v>107</v>
      </c>
      <c r="W197" s="35" t="s">
        <v>31</v>
      </c>
      <c r="X197" s="34" t="s">
        <v>29</v>
      </c>
      <c r="Y197" s="77" t="e">
        <f>#REF!-H197</f>
        <v>#REF!</v>
      </c>
      <c r="Z197" s="78" t="e">
        <f>#REF!-J197</f>
        <v>#REF!</v>
      </c>
      <c r="AA197" s="79" t="e">
        <f>#REF!-L197</f>
        <v>#REF!</v>
      </c>
      <c r="AB197" s="78" t="e">
        <f>#REF!-N197</f>
        <v>#REF!</v>
      </c>
      <c r="AC197" s="77" t="e">
        <f>(#REF!+#REF!)-S197</f>
        <v>#REF!</v>
      </c>
      <c r="AD197" s="80" t="e">
        <f>AC197/(#REF!+#REF!)*100</f>
        <v>#REF!</v>
      </c>
      <c r="AG197" s="81"/>
      <c r="AH197" s="33" t="s">
        <v>34</v>
      </c>
    </row>
    <row r="198" spans="1:34" s="69" customFormat="1" x14ac:dyDescent="0.3">
      <c r="A198" s="75">
        <v>194</v>
      </c>
      <c r="B198" s="34" t="s">
        <v>26</v>
      </c>
      <c r="C198" s="34" t="s">
        <v>358</v>
      </c>
      <c r="D198" s="35" t="s">
        <v>198</v>
      </c>
      <c r="E198" s="35" t="s">
        <v>31</v>
      </c>
      <c r="F198" s="36" t="s">
        <v>30</v>
      </c>
      <c r="G198" s="37" t="s">
        <v>31</v>
      </c>
      <c r="H198" s="38">
        <f t="shared" si="12"/>
        <v>29320.670000000002</v>
      </c>
      <c r="I198" s="39">
        <v>0</v>
      </c>
      <c r="J198" s="40">
        <v>25774.97</v>
      </c>
      <c r="K198" s="41">
        <f t="shared" ref="K198:K249" si="15">I198+J198</f>
        <v>25774.97</v>
      </c>
      <c r="L198" s="42">
        <v>0</v>
      </c>
      <c r="M198" s="42"/>
      <c r="N198" s="42">
        <v>3545.7</v>
      </c>
      <c r="O198" s="43">
        <f t="shared" si="13"/>
        <v>3545.7</v>
      </c>
      <c r="P198" s="42">
        <v>3347</v>
      </c>
      <c r="Q198" s="42">
        <v>198.7</v>
      </c>
      <c r="R198" s="42"/>
      <c r="S198" s="76">
        <f t="shared" si="14"/>
        <v>25774.97</v>
      </c>
      <c r="T198" s="35" t="s">
        <v>361</v>
      </c>
      <c r="U198" s="34" t="s">
        <v>360</v>
      </c>
      <c r="V198" s="35" t="s">
        <v>198</v>
      </c>
      <c r="W198" s="35" t="s">
        <v>31</v>
      </c>
      <c r="X198" s="34" t="s">
        <v>29</v>
      </c>
      <c r="Y198" s="77" t="e">
        <f>#REF!-H198</f>
        <v>#REF!</v>
      </c>
      <c r="Z198" s="78" t="e">
        <f>#REF!-J198</f>
        <v>#REF!</v>
      </c>
      <c r="AA198" s="79" t="e">
        <f>#REF!-L198</f>
        <v>#REF!</v>
      </c>
      <c r="AB198" s="78" t="e">
        <f>#REF!-N198</f>
        <v>#REF!</v>
      </c>
      <c r="AC198" s="77" t="e">
        <f>(#REF!+#REF!)-S198</f>
        <v>#REF!</v>
      </c>
      <c r="AD198" s="80" t="e">
        <f>AC198/(#REF!+#REF!)*100</f>
        <v>#REF!</v>
      </c>
      <c r="AG198" s="81"/>
      <c r="AH198" s="33" t="s">
        <v>34</v>
      </c>
    </row>
    <row r="199" spans="1:34" s="69" customFormat="1" x14ac:dyDescent="0.3">
      <c r="A199" s="101">
        <v>195</v>
      </c>
      <c r="B199" s="34" t="s">
        <v>26</v>
      </c>
      <c r="C199" s="34" t="s">
        <v>358</v>
      </c>
      <c r="D199" s="35" t="s">
        <v>198</v>
      </c>
      <c r="E199" s="35" t="s">
        <v>31</v>
      </c>
      <c r="F199" s="36" t="s">
        <v>56</v>
      </c>
      <c r="G199" s="37" t="s">
        <v>31</v>
      </c>
      <c r="H199" s="38">
        <f t="shared" si="12"/>
        <v>32839.549999999996</v>
      </c>
      <c r="I199" s="39">
        <v>26.46</v>
      </c>
      <c r="J199" s="40">
        <v>29066.89</v>
      </c>
      <c r="K199" s="41">
        <f t="shared" si="15"/>
        <v>29093.35</v>
      </c>
      <c r="L199" s="42">
        <v>0</v>
      </c>
      <c r="M199" s="42"/>
      <c r="N199" s="42">
        <v>3746.13</v>
      </c>
      <c r="O199" s="43">
        <f t="shared" si="13"/>
        <v>3746.2</v>
      </c>
      <c r="P199" s="42">
        <v>3529</v>
      </c>
      <c r="Q199" s="42">
        <v>217.2</v>
      </c>
      <c r="R199" s="42"/>
      <c r="S199" s="76">
        <f t="shared" si="14"/>
        <v>29093.35</v>
      </c>
      <c r="T199" s="35" t="s">
        <v>362</v>
      </c>
      <c r="U199" s="34" t="s">
        <v>360</v>
      </c>
      <c r="V199" s="35" t="s">
        <v>198</v>
      </c>
      <c r="W199" s="35" t="s">
        <v>31</v>
      </c>
      <c r="X199" s="34" t="s">
        <v>29</v>
      </c>
      <c r="Y199" s="77" t="e">
        <f>#REF!-H199</f>
        <v>#REF!</v>
      </c>
      <c r="Z199" s="78" t="e">
        <f>#REF!-J199</f>
        <v>#REF!</v>
      </c>
      <c r="AA199" s="79" t="e">
        <f>#REF!-L199</f>
        <v>#REF!</v>
      </c>
      <c r="AB199" s="78" t="e">
        <f>#REF!-N199</f>
        <v>#REF!</v>
      </c>
      <c r="AC199" s="77" t="e">
        <f>(#REF!+#REF!)-S199</f>
        <v>#REF!</v>
      </c>
      <c r="AD199" s="80" t="e">
        <f>AC199/(#REF!+#REF!)*100</f>
        <v>#REF!</v>
      </c>
      <c r="AG199" s="81"/>
      <c r="AH199" s="33" t="s">
        <v>34</v>
      </c>
    </row>
    <row r="200" spans="1:34" s="69" customFormat="1" x14ac:dyDescent="0.3">
      <c r="A200" s="75">
        <v>196</v>
      </c>
      <c r="B200" s="34" t="s">
        <v>26</v>
      </c>
      <c r="C200" s="34" t="s">
        <v>358</v>
      </c>
      <c r="D200" s="35" t="s">
        <v>198</v>
      </c>
      <c r="E200" s="35" t="s">
        <v>161</v>
      </c>
      <c r="F200" s="36" t="s">
        <v>30</v>
      </c>
      <c r="G200" s="37" t="s">
        <v>31</v>
      </c>
      <c r="H200" s="38">
        <f t="shared" si="12"/>
        <v>12523.05</v>
      </c>
      <c r="I200" s="39"/>
      <c r="J200" s="40">
        <f>10717.16-0.11</f>
        <v>10717.05</v>
      </c>
      <c r="K200" s="41">
        <f t="shared" si="15"/>
        <v>10717.05</v>
      </c>
      <c r="L200" s="42">
        <v>0</v>
      </c>
      <c r="M200" s="42"/>
      <c r="N200" s="40">
        <v>1740.4</v>
      </c>
      <c r="O200" s="43">
        <f t="shared" si="13"/>
        <v>1806</v>
      </c>
      <c r="P200" s="40">
        <v>1602</v>
      </c>
      <c r="Q200" s="40">
        <v>204</v>
      </c>
      <c r="R200" s="40"/>
      <c r="S200" s="76">
        <f t="shared" si="14"/>
        <v>10717.05</v>
      </c>
      <c r="T200" s="35" t="s">
        <v>363</v>
      </c>
      <c r="U200" s="34" t="s">
        <v>360</v>
      </c>
      <c r="V200" s="35" t="s">
        <v>198</v>
      </c>
      <c r="W200" s="35" t="s">
        <v>161</v>
      </c>
      <c r="X200" s="34" t="s">
        <v>29</v>
      </c>
      <c r="Y200" s="77" t="e">
        <f>#REF!-H200</f>
        <v>#REF!</v>
      </c>
      <c r="Z200" s="78" t="e">
        <f>#REF!-J200</f>
        <v>#REF!</v>
      </c>
      <c r="AA200" s="79" t="e">
        <f>#REF!-L200</f>
        <v>#REF!</v>
      </c>
      <c r="AB200" s="78" t="e">
        <f>#REF!-N200</f>
        <v>#REF!</v>
      </c>
      <c r="AC200" s="77" t="e">
        <f>(#REF!+#REF!)-S200</f>
        <v>#REF!</v>
      </c>
      <c r="AD200" s="80" t="e">
        <f>AC200/(#REF!+#REF!)*100</f>
        <v>#REF!</v>
      </c>
      <c r="AG200" s="81"/>
      <c r="AH200" s="33" t="s">
        <v>34</v>
      </c>
    </row>
    <row r="201" spans="1:34" s="69" customFormat="1" x14ac:dyDescent="0.3">
      <c r="A201" s="75">
        <v>197</v>
      </c>
      <c r="B201" s="34" t="s">
        <v>26</v>
      </c>
      <c r="C201" s="34" t="s">
        <v>358</v>
      </c>
      <c r="D201" s="35" t="s">
        <v>205</v>
      </c>
      <c r="E201" s="35" t="s">
        <v>31</v>
      </c>
      <c r="F201" s="36" t="s">
        <v>30</v>
      </c>
      <c r="G201" s="37" t="s">
        <v>31</v>
      </c>
      <c r="H201" s="38">
        <f t="shared" si="12"/>
        <v>32204.16</v>
      </c>
      <c r="I201" s="39">
        <v>0</v>
      </c>
      <c r="J201" s="40">
        <v>28314.76</v>
      </c>
      <c r="K201" s="41">
        <f t="shared" si="15"/>
        <v>28314.76</v>
      </c>
      <c r="L201" s="42">
        <v>0</v>
      </c>
      <c r="M201" s="42"/>
      <c r="N201" s="40">
        <v>3871.82</v>
      </c>
      <c r="O201" s="43">
        <f t="shared" si="13"/>
        <v>3889.4</v>
      </c>
      <c r="P201" s="40">
        <v>3554</v>
      </c>
      <c r="Q201" s="40">
        <v>335.4</v>
      </c>
      <c r="R201" s="40"/>
      <c r="S201" s="76">
        <f t="shared" si="14"/>
        <v>28314.76</v>
      </c>
      <c r="T201" s="35" t="s">
        <v>364</v>
      </c>
      <c r="U201" s="34" t="s">
        <v>360</v>
      </c>
      <c r="V201" s="35" t="s">
        <v>205</v>
      </c>
      <c r="W201" s="35" t="s">
        <v>31</v>
      </c>
      <c r="X201" s="34" t="s">
        <v>29</v>
      </c>
      <c r="Y201" s="77" t="e">
        <f>#REF!-H201</f>
        <v>#REF!</v>
      </c>
      <c r="Z201" s="78" t="e">
        <f>#REF!-J201</f>
        <v>#REF!</v>
      </c>
      <c r="AA201" s="79" t="e">
        <f>#REF!-L201</f>
        <v>#REF!</v>
      </c>
      <c r="AB201" s="78" t="e">
        <f>#REF!-N201</f>
        <v>#REF!</v>
      </c>
      <c r="AC201" s="77" t="e">
        <f>(#REF!+#REF!)-S201</f>
        <v>#REF!</v>
      </c>
      <c r="AD201" s="80" t="e">
        <f>AC201/(#REF!+#REF!)*100</f>
        <v>#REF!</v>
      </c>
      <c r="AG201" s="81"/>
      <c r="AH201" s="33" t="s">
        <v>34</v>
      </c>
    </row>
    <row r="202" spans="1:34" s="69" customFormat="1" x14ac:dyDescent="0.3">
      <c r="A202" s="101">
        <v>198</v>
      </c>
      <c r="B202" s="34" t="s">
        <v>26</v>
      </c>
      <c r="C202" s="34" t="s">
        <v>365</v>
      </c>
      <c r="D202" s="35" t="s">
        <v>31</v>
      </c>
      <c r="E202" s="35" t="s">
        <v>29</v>
      </c>
      <c r="F202" s="36" t="s">
        <v>30</v>
      </c>
      <c r="G202" s="37" t="s">
        <v>31</v>
      </c>
      <c r="H202" s="38">
        <f t="shared" si="12"/>
        <v>38817.57</v>
      </c>
      <c r="I202" s="39">
        <v>91.12</v>
      </c>
      <c r="J202" s="40">
        <v>32536.25</v>
      </c>
      <c r="K202" s="41">
        <f t="shared" si="15"/>
        <v>32627.37</v>
      </c>
      <c r="L202" s="42">
        <f>2795.7+39.9+26.2+2.8</f>
        <v>2864.6</v>
      </c>
      <c r="M202" s="42">
        <f>26.2+43.1</f>
        <v>69.3</v>
      </c>
      <c r="N202" s="40">
        <v>4909.2</v>
      </c>
      <c r="O202" s="43">
        <f t="shared" si="13"/>
        <v>3325.6</v>
      </c>
      <c r="P202" s="40">
        <v>2510</v>
      </c>
      <c r="Q202" s="40">
        <v>815.6</v>
      </c>
      <c r="R202" s="40"/>
      <c r="S202" s="76">
        <f t="shared" si="14"/>
        <v>35491.97</v>
      </c>
      <c r="T202" s="35" t="s">
        <v>366</v>
      </c>
      <c r="U202" s="34" t="s">
        <v>367</v>
      </c>
      <c r="V202" s="35" t="s">
        <v>31</v>
      </c>
      <c r="W202" s="35" t="s">
        <v>29</v>
      </c>
      <c r="X202" s="34" t="s">
        <v>29</v>
      </c>
      <c r="Y202" s="77" t="e">
        <f>#REF!-H202</f>
        <v>#REF!</v>
      </c>
      <c r="Z202" s="78" t="e">
        <f>#REF!-J202</f>
        <v>#REF!</v>
      </c>
      <c r="AA202" s="79" t="e">
        <f>#REF!-L202</f>
        <v>#REF!</v>
      </c>
      <c r="AB202" s="78" t="e">
        <f>#REF!-N202</f>
        <v>#REF!</v>
      </c>
      <c r="AC202" s="77" t="e">
        <f>(#REF!+#REF!)-S202</f>
        <v>#REF!</v>
      </c>
      <c r="AD202" s="80" t="e">
        <f>AC202/(#REF!+#REF!)*100</f>
        <v>#REF!</v>
      </c>
      <c r="AG202" s="81"/>
      <c r="AH202" s="33" t="s">
        <v>34</v>
      </c>
    </row>
    <row r="203" spans="1:34" s="69" customFormat="1" x14ac:dyDescent="0.3">
      <c r="A203" s="75">
        <v>199</v>
      </c>
      <c r="B203" s="34" t="s">
        <v>26</v>
      </c>
      <c r="C203" s="34" t="s">
        <v>365</v>
      </c>
      <c r="D203" s="35" t="s">
        <v>368</v>
      </c>
      <c r="E203" s="35" t="s">
        <v>29</v>
      </c>
      <c r="F203" s="35" t="s">
        <v>30</v>
      </c>
      <c r="G203" s="115"/>
      <c r="H203" s="38">
        <f t="shared" si="12"/>
        <v>6657.46</v>
      </c>
      <c r="I203" s="116"/>
      <c r="J203" s="40">
        <v>5957.66</v>
      </c>
      <c r="K203" s="41">
        <f t="shared" si="15"/>
        <v>5957.66</v>
      </c>
      <c r="L203" s="42">
        <v>0</v>
      </c>
      <c r="M203" s="42"/>
      <c r="N203" s="40">
        <v>699.83</v>
      </c>
      <c r="O203" s="43">
        <f t="shared" si="13"/>
        <v>699.8</v>
      </c>
      <c r="P203" s="40">
        <v>668</v>
      </c>
      <c r="Q203" s="40">
        <v>31.8</v>
      </c>
      <c r="R203" s="40"/>
      <c r="S203" s="76">
        <f t="shared" si="14"/>
        <v>5957.66</v>
      </c>
      <c r="T203" s="35" t="s">
        <v>369</v>
      </c>
      <c r="U203" s="34" t="s">
        <v>367</v>
      </c>
      <c r="V203" s="35" t="s">
        <v>368</v>
      </c>
      <c r="W203" s="35" t="s">
        <v>29</v>
      </c>
      <c r="X203" s="34" t="s">
        <v>29</v>
      </c>
      <c r="Y203" s="77" t="e">
        <f>#REF!-H203</f>
        <v>#REF!</v>
      </c>
      <c r="Z203" s="78" t="e">
        <f>#REF!-J203</f>
        <v>#REF!</v>
      </c>
      <c r="AA203" s="79" t="e">
        <f>#REF!-L203</f>
        <v>#REF!</v>
      </c>
      <c r="AB203" s="78" t="e">
        <f>#REF!-N203</f>
        <v>#REF!</v>
      </c>
      <c r="AC203" s="77" t="e">
        <f>(#REF!+#REF!)-S203</f>
        <v>#REF!</v>
      </c>
      <c r="AD203" s="80" t="e">
        <f>AC203/(#REF!+#REF!)*100</f>
        <v>#REF!</v>
      </c>
      <c r="AG203" s="81"/>
      <c r="AH203" s="33" t="s">
        <v>34</v>
      </c>
    </row>
    <row r="204" spans="1:34" s="69" customFormat="1" ht="15" customHeight="1" x14ac:dyDescent="0.3">
      <c r="A204" s="75">
        <v>200</v>
      </c>
      <c r="B204" s="34" t="s">
        <v>26</v>
      </c>
      <c r="C204" s="34" t="s">
        <v>365</v>
      </c>
      <c r="D204" s="35" t="s">
        <v>241</v>
      </c>
      <c r="E204" s="35" t="s">
        <v>161</v>
      </c>
      <c r="F204" s="35" t="s">
        <v>30</v>
      </c>
      <c r="G204" s="115" t="s">
        <v>31</v>
      </c>
      <c r="H204" s="38">
        <f t="shared" si="12"/>
        <v>10161.000000000002</v>
      </c>
      <c r="I204" s="116"/>
      <c r="J204" s="40">
        <f>8258.7+87.2</f>
        <v>8345.9000000000015</v>
      </c>
      <c r="K204" s="41">
        <f t="shared" si="15"/>
        <v>8345.9000000000015</v>
      </c>
      <c r="L204" s="42">
        <f>87.2-87.2</f>
        <v>0</v>
      </c>
      <c r="M204" s="42"/>
      <c r="N204" s="40">
        <f>1808.4+1299.6+412.3</f>
        <v>3520.3</v>
      </c>
      <c r="O204" s="43">
        <f t="shared" si="13"/>
        <v>1815.1</v>
      </c>
      <c r="P204" s="40">
        <v>1299.5999999999999</v>
      </c>
      <c r="Q204" s="40">
        <v>83.4</v>
      </c>
      <c r="R204" s="40">
        <v>432.1</v>
      </c>
      <c r="S204" s="76">
        <f t="shared" si="14"/>
        <v>8345.9000000000015</v>
      </c>
      <c r="T204" s="35" t="s">
        <v>370</v>
      </c>
      <c r="U204" s="117" t="s">
        <v>367</v>
      </c>
      <c r="V204" s="35" t="s">
        <v>241</v>
      </c>
      <c r="W204" s="35" t="s">
        <v>161</v>
      </c>
      <c r="X204" s="34" t="s">
        <v>29</v>
      </c>
      <c r="Y204" s="77" t="e">
        <f>#REF!-H204</f>
        <v>#REF!</v>
      </c>
      <c r="Z204" s="78" t="e">
        <f>#REF!-J204</f>
        <v>#REF!</v>
      </c>
      <c r="AA204" s="79" t="e">
        <f>#REF!-L204</f>
        <v>#REF!</v>
      </c>
      <c r="AB204" s="78" t="e">
        <f>#REF!-N204</f>
        <v>#REF!</v>
      </c>
      <c r="AC204" s="77" t="e">
        <f>(#REF!+#REF!)-S204</f>
        <v>#REF!</v>
      </c>
      <c r="AD204" s="79" t="e">
        <f>AC204/(#REF!+#REF!)*100</f>
        <v>#REF!</v>
      </c>
      <c r="AG204" s="81"/>
      <c r="AH204" s="33" t="s">
        <v>34</v>
      </c>
    </row>
    <row r="205" spans="1:34" s="69" customFormat="1" ht="21" x14ac:dyDescent="0.3">
      <c r="A205" s="75">
        <v>201</v>
      </c>
      <c r="B205" s="82" t="s">
        <v>26</v>
      </c>
      <c r="C205" s="82" t="s">
        <v>365</v>
      </c>
      <c r="D205" s="83" t="s">
        <v>69</v>
      </c>
      <c r="E205" s="83" t="s">
        <v>29</v>
      </c>
      <c r="F205" s="83" t="s">
        <v>56</v>
      </c>
      <c r="G205" s="118"/>
      <c r="H205" s="86">
        <f t="shared" si="12"/>
        <v>2837.13</v>
      </c>
      <c r="I205" s="119"/>
      <c r="J205" s="88">
        <v>2538.0300000000002</v>
      </c>
      <c r="K205" s="89">
        <f t="shared" si="15"/>
        <v>2538.0300000000002</v>
      </c>
      <c r="L205" s="90">
        <v>0</v>
      </c>
      <c r="M205" s="90"/>
      <c r="N205" s="88">
        <v>299.11</v>
      </c>
      <c r="O205" s="91">
        <f t="shared" si="13"/>
        <v>299.10000000000002</v>
      </c>
      <c r="P205" s="88">
        <v>282</v>
      </c>
      <c r="Q205" s="88">
        <v>17.100000000000001</v>
      </c>
      <c r="R205" s="88"/>
      <c r="S205" s="92">
        <f t="shared" si="14"/>
        <v>2538.0300000000002</v>
      </c>
      <c r="T205" s="93" t="s">
        <v>57</v>
      </c>
      <c r="U205" s="82" t="s">
        <v>367</v>
      </c>
      <c r="V205" s="83" t="s">
        <v>69</v>
      </c>
      <c r="W205" s="83" t="s">
        <v>29</v>
      </c>
      <c r="X205" s="82" t="s">
        <v>29</v>
      </c>
      <c r="Y205" s="94" t="e">
        <f>#REF!-H205</f>
        <v>#REF!</v>
      </c>
      <c r="Z205" s="95" t="e">
        <f>#REF!-J205</f>
        <v>#REF!</v>
      </c>
      <c r="AA205" s="96" t="e">
        <f>#REF!-L205</f>
        <v>#REF!</v>
      </c>
      <c r="AB205" s="95" t="e">
        <f>#REF!-N205</f>
        <v>#REF!</v>
      </c>
      <c r="AC205" s="94" t="e">
        <f>(#REF!+#REF!)-S205</f>
        <v>#REF!</v>
      </c>
      <c r="AD205" s="96" t="e">
        <f>AC205/(#REF!+#REF!)*100</f>
        <v>#REF!</v>
      </c>
      <c r="AE205" s="98"/>
      <c r="AF205" s="98"/>
      <c r="AG205" s="99"/>
      <c r="AH205" s="100" t="s">
        <v>95</v>
      </c>
    </row>
    <row r="206" spans="1:34" s="69" customFormat="1" x14ac:dyDescent="0.3">
      <c r="A206" s="101">
        <v>202</v>
      </c>
      <c r="B206" s="34" t="s">
        <v>26</v>
      </c>
      <c r="C206" s="34" t="s">
        <v>365</v>
      </c>
      <c r="D206" s="35" t="s">
        <v>72</v>
      </c>
      <c r="E206" s="35" t="s">
        <v>69</v>
      </c>
      <c r="F206" s="35" t="s">
        <v>30</v>
      </c>
      <c r="G206" s="115" t="s">
        <v>31</v>
      </c>
      <c r="H206" s="38">
        <f t="shared" si="12"/>
        <v>5008.0999999999995</v>
      </c>
      <c r="I206" s="116"/>
      <c r="J206" s="40">
        <v>4328.3999999999996</v>
      </c>
      <c r="K206" s="41">
        <f t="shared" si="15"/>
        <v>4328.3999999999996</v>
      </c>
      <c r="L206" s="42">
        <v>0</v>
      </c>
      <c r="M206" s="42"/>
      <c r="N206" s="40">
        <v>603.5</v>
      </c>
      <c r="O206" s="43">
        <f t="shared" si="13"/>
        <v>679.7</v>
      </c>
      <c r="P206" s="40">
        <v>601.1</v>
      </c>
      <c r="Q206" s="40">
        <v>78.599999999999994</v>
      </c>
      <c r="R206" s="40"/>
      <c r="S206" s="76">
        <f t="shared" si="14"/>
        <v>4328.3999999999996</v>
      </c>
      <c r="T206" s="35" t="s">
        <v>371</v>
      </c>
      <c r="U206" s="34" t="s">
        <v>367</v>
      </c>
      <c r="V206" s="35" t="s">
        <v>72</v>
      </c>
      <c r="W206" s="35" t="s">
        <v>69</v>
      </c>
      <c r="X206" s="34" t="s">
        <v>29</v>
      </c>
      <c r="Y206" s="77" t="e">
        <f>#REF!-H206</f>
        <v>#REF!</v>
      </c>
      <c r="Z206" s="78" t="e">
        <f>#REF!-J206</f>
        <v>#REF!</v>
      </c>
      <c r="AA206" s="79" t="e">
        <f>#REF!-L206</f>
        <v>#REF!</v>
      </c>
      <c r="AB206" s="78" t="e">
        <f>#REF!-N206</f>
        <v>#REF!</v>
      </c>
      <c r="AC206" s="77" t="e">
        <f>(#REF!+#REF!)-S206</f>
        <v>#REF!</v>
      </c>
      <c r="AD206" s="79" t="e">
        <f>AC206/(#REF!+#REF!)*100</f>
        <v>#REF!</v>
      </c>
      <c r="AG206" s="81"/>
      <c r="AH206" s="33" t="s">
        <v>34</v>
      </c>
    </row>
    <row r="207" spans="1:34" s="69" customFormat="1" x14ac:dyDescent="0.3">
      <c r="A207" s="75">
        <v>203</v>
      </c>
      <c r="B207" s="82" t="s">
        <v>26</v>
      </c>
      <c r="C207" s="82" t="s">
        <v>365</v>
      </c>
      <c r="D207" s="83" t="s">
        <v>94</v>
      </c>
      <c r="E207" s="83" t="s">
        <v>241</v>
      </c>
      <c r="F207" s="83" t="s">
        <v>30</v>
      </c>
      <c r="G207" s="118" t="s">
        <v>31</v>
      </c>
      <c r="H207" s="86">
        <f t="shared" si="12"/>
        <v>6430.9</v>
      </c>
      <c r="I207" s="119"/>
      <c r="J207" s="88">
        <v>5205.2</v>
      </c>
      <c r="K207" s="89">
        <f t="shared" si="15"/>
        <v>5205.2</v>
      </c>
      <c r="L207" s="90">
        <v>0</v>
      </c>
      <c r="M207" s="90"/>
      <c r="N207" s="88">
        <v>1162.0999999999999</v>
      </c>
      <c r="O207" s="91">
        <f t="shared" si="13"/>
        <v>1225.7</v>
      </c>
      <c r="P207" s="88">
        <v>1120.2</v>
      </c>
      <c r="Q207" s="88">
        <v>105.5</v>
      </c>
      <c r="R207" s="88"/>
      <c r="S207" s="92">
        <f t="shared" si="14"/>
        <v>5205.2</v>
      </c>
      <c r="T207" s="83" t="s">
        <v>372</v>
      </c>
      <c r="U207" s="82" t="s">
        <v>367</v>
      </c>
      <c r="V207" s="83" t="s">
        <v>94</v>
      </c>
      <c r="W207" s="83" t="s">
        <v>241</v>
      </c>
      <c r="X207" s="82" t="s">
        <v>29</v>
      </c>
      <c r="Y207" s="94" t="e">
        <f>#REF!-H207</f>
        <v>#REF!</v>
      </c>
      <c r="Z207" s="95" t="e">
        <f>#REF!-J207</f>
        <v>#REF!</v>
      </c>
      <c r="AA207" s="96" t="e">
        <f>#REF!-L207</f>
        <v>#REF!</v>
      </c>
      <c r="AB207" s="95" t="e">
        <f>#REF!-N207</f>
        <v>#REF!</v>
      </c>
      <c r="AC207" s="94" t="e">
        <f>(#REF!+#REF!)-S207</f>
        <v>#REF!</v>
      </c>
      <c r="AD207" s="96" t="e">
        <f>AC207/(#REF!+#REF!)*100</f>
        <v>#REF!</v>
      </c>
      <c r="AE207" s="98"/>
      <c r="AF207" s="98"/>
      <c r="AG207" s="99"/>
      <c r="AH207" s="120" t="s">
        <v>114</v>
      </c>
    </row>
    <row r="208" spans="1:34" s="69" customFormat="1" x14ac:dyDescent="0.3">
      <c r="A208" s="75">
        <v>204</v>
      </c>
      <c r="B208" s="34" t="s">
        <v>26</v>
      </c>
      <c r="C208" s="34" t="s">
        <v>365</v>
      </c>
      <c r="D208" s="35" t="s">
        <v>78</v>
      </c>
      <c r="E208" s="35" t="s">
        <v>241</v>
      </c>
      <c r="F208" s="35" t="s">
        <v>56</v>
      </c>
      <c r="G208" s="115"/>
      <c r="H208" s="38">
        <f t="shared" si="12"/>
        <v>5051.4400000000005</v>
      </c>
      <c r="I208" s="116"/>
      <c r="J208" s="40">
        <v>3764.94</v>
      </c>
      <c r="K208" s="41">
        <f t="shared" si="15"/>
        <v>3764.94</v>
      </c>
      <c r="L208" s="42">
        <v>865.5</v>
      </c>
      <c r="M208" s="42"/>
      <c r="N208" s="40">
        <v>421</v>
      </c>
      <c r="O208" s="43">
        <f t="shared" si="13"/>
        <v>421</v>
      </c>
      <c r="P208" s="40">
        <v>382</v>
      </c>
      <c r="Q208" s="40">
        <v>39</v>
      </c>
      <c r="R208" s="40"/>
      <c r="S208" s="76">
        <f t="shared" si="14"/>
        <v>4630.4400000000005</v>
      </c>
      <c r="T208" s="35" t="s">
        <v>373</v>
      </c>
      <c r="U208" s="34" t="s">
        <v>367</v>
      </c>
      <c r="V208" s="35" t="s">
        <v>78</v>
      </c>
      <c r="W208" s="35" t="s">
        <v>241</v>
      </c>
      <c r="X208" s="34" t="s">
        <v>29</v>
      </c>
      <c r="Y208" s="77" t="e">
        <f>#REF!-H208</f>
        <v>#REF!</v>
      </c>
      <c r="Z208" s="78" t="e">
        <f>#REF!-J208</f>
        <v>#REF!</v>
      </c>
      <c r="AA208" s="79" t="e">
        <f>#REF!-L208</f>
        <v>#REF!</v>
      </c>
      <c r="AB208" s="78" t="e">
        <f>#REF!-N208</f>
        <v>#REF!</v>
      </c>
      <c r="AC208" s="77" t="e">
        <f>(#REF!+#REF!)-S208</f>
        <v>#REF!</v>
      </c>
      <c r="AD208" s="79" t="e">
        <f>AC208/(#REF!+#REF!)*100</f>
        <v>#REF!</v>
      </c>
      <c r="AG208" s="81"/>
      <c r="AH208" s="33" t="s">
        <v>34</v>
      </c>
    </row>
    <row r="209" spans="1:34" s="69" customFormat="1" ht="21" x14ac:dyDescent="0.3">
      <c r="A209" s="101">
        <v>205</v>
      </c>
      <c r="B209" s="82" t="s">
        <v>26</v>
      </c>
      <c r="C209" s="82" t="s">
        <v>365</v>
      </c>
      <c r="D209" s="83" t="s">
        <v>85</v>
      </c>
      <c r="E209" s="83" t="s">
        <v>29</v>
      </c>
      <c r="F209" s="83" t="s">
        <v>43</v>
      </c>
      <c r="G209" s="118"/>
      <c r="H209" s="86">
        <f t="shared" si="12"/>
        <v>2852.2400000000002</v>
      </c>
      <c r="I209" s="119"/>
      <c r="J209" s="88">
        <f>2537.34-0.65</f>
        <v>2536.69</v>
      </c>
      <c r="K209" s="89">
        <f t="shared" si="15"/>
        <v>2536.69</v>
      </c>
      <c r="L209" s="90">
        <v>0</v>
      </c>
      <c r="M209" s="90"/>
      <c r="N209" s="88">
        <v>276</v>
      </c>
      <c r="O209" s="91">
        <f t="shared" si="13"/>
        <v>315.55</v>
      </c>
      <c r="P209" s="88">
        <v>276</v>
      </c>
      <c r="Q209" s="88">
        <v>39.549999999999997</v>
      </c>
      <c r="R209" s="88"/>
      <c r="S209" s="92">
        <f t="shared" si="14"/>
        <v>2536.69</v>
      </c>
      <c r="T209" s="93" t="s">
        <v>57</v>
      </c>
      <c r="U209" s="82" t="s">
        <v>367</v>
      </c>
      <c r="V209" s="83" t="s">
        <v>85</v>
      </c>
      <c r="W209" s="83" t="s">
        <v>29</v>
      </c>
      <c r="X209" s="82" t="s">
        <v>29</v>
      </c>
      <c r="Y209" s="94" t="e">
        <f>#REF!-H209</f>
        <v>#REF!</v>
      </c>
      <c r="Z209" s="95" t="e">
        <f>#REF!-J209</f>
        <v>#REF!</v>
      </c>
      <c r="AA209" s="96" t="e">
        <f>#REF!-L209</f>
        <v>#REF!</v>
      </c>
      <c r="AB209" s="95" t="e">
        <f>#REF!-N209</f>
        <v>#REF!</v>
      </c>
      <c r="AC209" s="94" t="e">
        <f>(#REF!+#REF!)-S209</f>
        <v>#REF!</v>
      </c>
      <c r="AD209" s="96" t="e">
        <f>AC209/(#REF!+#REF!)*100</f>
        <v>#REF!</v>
      </c>
      <c r="AE209" s="98"/>
      <c r="AF209" s="98"/>
      <c r="AG209" s="99"/>
      <c r="AH209" s="100" t="s">
        <v>58</v>
      </c>
    </row>
    <row r="210" spans="1:34" x14ac:dyDescent="0.3">
      <c r="A210" s="75">
        <v>206</v>
      </c>
      <c r="B210" s="34" t="s">
        <v>26</v>
      </c>
      <c r="C210" s="34" t="s">
        <v>365</v>
      </c>
      <c r="D210" s="35" t="s">
        <v>374</v>
      </c>
      <c r="E210" s="35" t="s">
        <v>29</v>
      </c>
      <c r="F210" s="35" t="s">
        <v>30</v>
      </c>
      <c r="G210" s="115"/>
      <c r="H210" s="113">
        <f t="shared" si="12"/>
        <v>4034.45</v>
      </c>
      <c r="I210" s="116"/>
      <c r="J210" s="40">
        <v>2804.42</v>
      </c>
      <c r="K210" s="41">
        <f t="shared" si="15"/>
        <v>2804.42</v>
      </c>
      <c r="L210" s="42">
        <v>871.1</v>
      </c>
      <c r="M210" s="42"/>
      <c r="N210" s="42">
        <v>374.03</v>
      </c>
      <c r="O210" s="43">
        <f t="shared" si="13"/>
        <v>358.93</v>
      </c>
      <c r="P210" s="42">
        <v>339</v>
      </c>
      <c r="Q210" s="42">
        <v>19.93</v>
      </c>
      <c r="R210" s="42"/>
      <c r="S210" s="44">
        <f t="shared" si="14"/>
        <v>3675.52</v>
      </c>
      <c r="T210" s="35" t="s">
        <v>375</v>
      </c>
      <c r="U210" s="70" t="s">
        <v>367</v>
      </c>
      <c r="V210" s="71" t="s">
        <v>374</v>
      </c>
      <c r="W210" s="71" t="s">
        <v>29</v>
      </c>
      <c r="X210" s="70" t="s">
        <v>29</v>
      </c>
      <c r="Y210" s="72" t="e">
        <f>#REF!-H210</f>
        <v>#REF!</v>
      </c>
      <c r="Z210" s="73" t="e">
        <f>#REF!-J210</f>
        <v>#REF!</v>
      </c>
      <c r="AA210" s="74" t="e">
        <f>#REF!-L210</f>
        <v>#REF!</v>
      </c>
      <c r="AB210" s="73" t="e">
        <f>#REF!-N210</f>
        <v>#REF!</v>
      </c>
      <c r="AC210" s="72" t="e">
        <f>(#REF!+#REF!)-S210</f>
        <v>#REF!</v>
      </c>
      <c r="AD210" s="74" t="e">
        <f>AC210/(#REF!+#REF!)*100</f>
        <v>#REF!</v>
      </c>
      <c r="AH210" s="33" t="s">
        <v>34</v>
      </c>
    </row>
    <row r="211" spans="1:34" x14ac:dyDescent="0.3">
      <c r="A211" s="75">
        <v>207</v>
      </c>
      <c r="B211" s="34" t="s">
        <v>26</v>
      </c>
      <c r="C211" s="34" t="s">
        <v>365</v>
      </c>
      <c r="D211" s="35" t="s">
        <v>374</v>
      </c>
      <c r="E211" s="35" t="s">
        <v>29</v>
      </c>
      <c r="F211" s="35" t="s">
        <v>43</v>
      </c>
      <c r="G211" s="115"/>
      <c r="H211" s="113">
        <f t="shared" si="12"/>
        <v>4791.1100000000006</v>
      </c>
      <c r="I211" s="116"/>
      <c r="J211" s="40">
        <v>4274.3100000000004</v>
      </c>
      <c r="K211" s="41">
        <f t="shared" si="15"/>
        <v>4274.3100000000004</v>
      </c>
      <c r="L211" s="42">
        <v>31.1</v>
      </c>
      <c r="M211" s="42"/>
      <c r="N211" s="42">
        <v>454.6</v>
      </c>
      <c r="O211" s="43">
        <f t="shared" si="13"/>
        <v>485.7</v>
      </c>
      <c r="P211" s="42">
        <v>450</v>
      </c>
      <c r="Q211" s="42">
        <v>35.700000000000003</v>
      </c>
      <c r="R211" s="42"/>
      <c r="S211" s="44">
        <f t="shared" si="14"/>
        <v>4305.4100000000008</v>
      </c>
      <c r="T211" s="35" t="s">
        <v>376</v>
      </c>
      <c r="U211" s="70" t="s">
        <v>367</v>
      </c>
      <c r="V211" s="71" t="s">
        <v>374</v>
      </c>
      <c r="W211" s="71" t="s">
        <v>29</v>
      </c>
      <c r="X211" s="70" t="s">
        <v>29</v>
      </c>
      <c r="Y211" s="72" t="e">
        <f>#REF!-H211</f>
        <v>#REF!</v>
      </c>
      <c r="Z211" s="73" t="e">
        <f>#REF!-J211</f>
        <v>#REF!</v>
      </c>
      <c r="AA211" s="74" t="e">
        <f>#REF!-L211</f>
        <v>#REF!</v>
      </c>
      <c r="AB211" s="73" t="e">
        <f>#REF!-N211</f>
        <v>#REF!</v>
      </c>
      <c r="AC211" s="72" t="e">
        <f>(#REF!+#REF!)-S211</f>
        <v>#REF!</v>
      </c>
      <c r="AD211" s="74" t="e">
        <f>AC211/(#REF!+#REF!)*100</f>
        <v>#REF!</v>
      </c>
      <c r="AH211" s="33" t="s">
        <v>34</v>
      </c>
    </row>
    <row r="212" spans="1:34" x14ac:dyDescent="0.3">
      <c r="A212" s="101">
        <v>208</v>
      </c>
      <c r="B212" s="121" t="s">
        <v>178</v>
      </c>
      <c r="C212" s="121" t="s">
        <v>377</v>
      </c>
      <c r="D212" s="122" t="s">
        <v>85</v>
      </c>
      <c r="E212" s="122" t="s">
        <v>29</v>
      </c>
      <c r="F212" s="122" t="s">
        <v>30</v>
      </c>
      <c r="G212" s="123"/>
      <c r="H212" s="124">
        <f t="shared" si="12"/>
        <v>2672.3999999999996</v>
      </c>
      <c r="I212" s="125"/>
      <c r="J212" s="126">
        <f>2005+43.2</f>
        <v>2048.1999999999998</v>
      </c>
      <c r="K212" s="127">
        <f t="shared" si="15"/>
        <v>2048.1999999999998</v>
      </c>
      <c r="L212" s="128">
        <v>114</v>
      </c>
      <c r="M212" s="128"/>
      <c r="N212" s="126">
        <v>499.44</v>
      </c>
      <c r="O212" s="129">
        <f t="shared" si="13"/>
        <v>510.2</v>
      </c>
      <c r="P212" s="127">
        <f>470</f>
        <v>470</v>
      </c>
      <c r="Q212" s="127">
        <f>40.2</f>
        <v>40.200000000000003</v>
      </c>
      <c r="R212" s="126"/>
      <c r="S212" s="130">
        <f t="shared" si="14"/>
        <v>2162.1999999999998</v>
      </c>
      <c r="T212" s="122" t="s">
        <v>378</v>
      </c>
      <c r="U212" s="121" t="s">
        <v>379</v>
      </c>
      <c r="V212" s="122" t="s">
        <v>85</v>
      </c>
      <c r="W212" s="122" t="s">
        <v>29</v>
      </c>
      <c r="X212" s="121" t="s">
        <v>29</v>
      </c>
      <c r="Y212" s="131" t="e">
        <f>#REF!-H212</f>
        <v>#REF!</v>
      </c>
      <c r="Z212" s="132" t="e">
        <f>#REF!-J212</f>
        <v>#REF!</v>
      </c>
      <c r="AA212" s="133" t="e">
        <f>#REF!-L212</f>
        <v>#REF!</v>
      </c>
      <c r="AB212" s="132" t="e">
        <f>#REF!-N212</f>
        <v>#REF!</v>
      </c>
      <c r="AC212" s="131" t="e">
        <f>(#REF!+#REF!)-S212</f>
        <v>#REF!</v>
      </c>
      <c r="AD212" s="133" t="e">
        <f>AC212/(#REF!+#REF!)*100</f>
        <v>#REF!</v>
      </c>
      <c r="AE212" s="134">
        <f>N212/510.2</f>
        <v>0.97891023128185028</v>
      </c>
      <c r="AF212" s="134">
        <v>510.2</v>
      </c>
      <c r="AG212" s="135"/>
      <c r="AH212" s="68" t="s">
        <v>39</v>
      </c>
    </row>
    <row r="213" spans="1:34" s="69" customFormat="1" x14ac:dyDescent="0.3">
      <c r="A213" s="75">
        <v>209</v>
      </c>
      <c r="B213" s="34" t="s">
        <v>26</v>
      </c>
      <c r="C213" s="34" t="s">
        <v>380</v>
      </c>
      <c r="D213" s="35" t="s">
        <v>381</v>
      </c>
      <c r="E213" s="35" t="s">
        <v>29</v>
      </c>
      <c r="F213" s="35" t="s">
        <v>30</v>
      </c>
      <c r="G213" s="115"/>
      <c r="H213" s="38">
        <f t="shared" si="12"/>
        <v>2517.4</v>
      </c>
      <c r="I213" s="116"/>
      <c r="J213" s="40">
        <f>1769.31-0.01</f>
        <v>1769.3</v>
      </c>
      <c r="K213" s="41">
        <f t="shared" si="15"/>
        <v>1769.3</v>
      </c>
      <c r="L213" s="42">
        <f>325.4+3.5+138.9</f>
        <v>467.79999999999995</v>
      </c>
      <c r="M213" s="42">
        <v>138.9</v>
      </c>
      <c r="N213" s="40">
        <v>436.26</v>
      </c>
      <c r="O213" s="43">
        <f>P213+Q213+R213</f>
        <v>280.3</v>
      </c>
      <c r="P213" s="40">
        <v>198</v>
      </c>
      <c r="Q213" s="40">
        <v>82.3</v>
      </c>
      <c r="R213" s="40"/>
      <c r="S213" s="76">
        <f t="shared" si="14"/>
        <v>2237.1</v>
      </c>
      <c r="T213" s="35" t="s">
        <v>382</v>
      </c>
      <c r="U213" s="34" t="s">
        <v>383</v>
      </c>
      <c r="V213" s="35" t="s">
        <v>384</v>
      </c>
      <c r="W213" s="35" t="s">
        <v>29</v>
      </c>
      <c r="X213" s="34" t="s">
        <v>29</v>
      </c>
      <c r="Y213" s="77" t="e">
        <f>#REF!-H213</f>
        <v>#REF!</v>
      </c>
      <c r="Z213" s="78" t="e">
        <f>#REF!-J213</f>
        <v>#REF!</v>
      </c>
      <c r="AA213" s="79" t="e">
        <f>#REF!-L213</f>
        <v>#REF!</v>
      </c>
      <c r="AB213" s="78" t="e">
        <f>#REF!-N213</f>
        <v>#REF!</v>
      </c>
      <c r="AC213" s="77" t="e">
        <f>(#REF!+#REF!)-S213</f>
        <v>#REF!</v>
      </c>
      <c r="AD213" s="79" t="e">
        <f>AC213/(#REF!+#REF!)*100</f>
        <v>#REF!</v>
      </c>
      <c r="AG213" s="81"/>
      <c r="AH213" s="33" t="s">
        <v>34</v>
      </c>
    </row>
    <row r="214" spans="1:34" s="69" customFormat="1" x14ac:dyDescent="0.3">
      <c r="A214" s="75">
        <v>210</v>
      </c>
      <c r="B214" s="34" t="s">
        <v>26</v>
      </c>
      <c r="C214" s="34" t="s">
        <v>380</v>
      </c>
      <c r="D214" s="35" t="s">
        <v>385</v>
      </c>
      <c r="E214" s="35" t="s">
        <v>29</v>
      </c>
      <c r="F214" s="35" t="s">
        <v>30</v>
      </c>
      <c r="G214" s="115" t="s">
        <v>31</v>
      </c>
      <c r="H214" s="38">
        <f t="shared" si="12"/>
        <v>2378.7199999999998</v>
      </c>
      <c r="I214" s="116"/>
      <c r="J214" s="40">
        <v>1836.62</v>
      </c>
      <c r="K214" s="41">
        <f t="shared" si="15"/>
        <v>1836.62</v>
      </c>
      <c r="L214" s="42">
        <v>211.1</v>
      </c>
      <c r="M214" s="42"/>
      <c r="N214" s="40">
        <v>331</v>
      </c>
      <c r="O214" s="43">
        <f>P214+Q214+R214</f>
        <v>331</v>
      </c>
      <c r="P214" s="40">
        <v>331</v>
      </c>
      <c r="Q214" s="40"/>
      <c r="R214" s="40"/>
      <c r="S214" s="76">
        <f t="shared" si="14"/>
        <v>2047.7199999999998</v>
      </c>
      <c r="T214" s="35" t="s">
        <v>386</v>
      </c>
      <c r="U214" s="34" t="s">
        <v>383</v>
      </c>
      <c r="V214" s="35" t="s">
        <v>387</v>
      </c>
      <c r="W214" s="35" t="s">
        <v>29</v>
      </c>
      <c r="X214" s="34" t="s">
        <v>29</v>
      </c>
      <c r="Y214" s="77" t="e">
        <f>#REF!-H214</f>
        <v>#REF!</v>
      </c>
      <c r="Z214" s="78" t="e">
        <f>#REF!-J214</f>
        <v>#REF!</v>
      </c>
      <c r="AA214" s="79" t="e">
        <f>#REF!-L214</f>
        <v>#REF!</v>
      </c>
      <c r="AB214" s="78" t="e">
        <f>#REF!-N214</f>
        <v>#REF!</v>
      </c>
      <c r="AC214" s="77" t="e">
        <f>(#REF!+#REF!)-S214</f>
        <v>#REF!</v>
      </c>
      <c r="AD214" s="79" t="e">
        <f>AC214/(#REF!+#REF!)*100</f>
        <v>#REF!</v>
      </c>
      <c r="AG214" s="81"/>
      <c r="AH214" s="33" t="s">
        <v>34</v>
      </c>
    </row>
    <row r="215" spans="1:34" s="69" customFormat="1" x14ac:dyDescent="0.3">
      <c r="A215" s="75">
        <v>211</v>
      </c>
      <c r="B215" s="34" t="s">
        <v>26</v>
      </c>
      <c r="C215" s="34" t="s">
        <v>380</v>
      </c>
      <c r="D215" s="35" t="s">
        <v>388</v>
      </c>
      <c r="E215" s="35" t="s">
        <v>29</v>
      </c>
      <c r="F215" s="35" t="s">
        <v>30</v>
      </c>
      <c r="G215" s="115" t="s">
        <v>31</v>
      </c>
      <c r="H215" s="38">
        <f t="shared" si="12"/>
        <v>1171.3399999999999</v>
      </c>
      <c r="I215" s="116"/>
      <c r="J215" s="40">
        <v>869.04</v>
      </c>
      <c r="K215" s="41">
        <f t="shared" si="15"/>
        <v>869.04</v>
      </c>
      <c r="L215" s="42">
        <v>180.3</v>
      </c>
      <c r="M215" s="42"/>
      <c r="N215" s="40">
        <v>122</v>
      </c>
      <c r="O215" s="43">
        <f t="shared" ref="O215:O249" si="16">P215+Q215+R215</f>
        <v>122</v>
      </c>
      <c r="P215" s="40">
        <v>122</v>
      </c>
      <c r="Q215" s="40"/>
      <c r="R215" s="40"/>
      <c r="S215" s="76">
        <f t="shared" si="14"/>
        <v>1049.3399999999999</v>
      </c>
      <c r="T215" s="35" t="s">
        <v>389</v>
      </c>
      <c r="U215" s="34" t="s">
        <v>383</v>
      </c>
      <c r="V215" s="35" t="s">
        <v>388</v>
      </c>
      <c r="W215" s="35" t="s">
        <v>29</v>
      </c>
      <c r="X215" s="34" t="s">
        <v>29</v>
      </c>
      <c r="Y215" s="77" t="e">
        <f>#REF!-H215</f>
        <v>#REF!</v>
      </c>
      <c r="Z215" s="78" t="e">
        <f>#REF!-J215</f>
        <v>#REF!</v>
      </c>
      <c r="AA215" s="79" t="e">
        <f>#REF!-L215</f>
        <v>#REF!</v>
      </c>
      <c r="AB215" s="78" t="e">
        <f>#REF!-N215</f>
        <v>#REF!</v>
      </c>
      <c r="AC215" s="77" t="e">
        <f>(#REF!+#REF!)-S215</f>
        <v>#REF!</v>
      </c>
      <c r="AD215" s="79" t="e">
        <f>AC215/(#REF!+#REF!)*100</f>
        <v>#REF!</v>
      </c>
      <c r="AG215" s="81"/>
      <c r="AH215" s="33" t="s">
        <v>34</v>
      </c>
    </row>
    <row r="216" spans="1:34" s="69" customFormat="1" ht="21" x14ac:dyDescent="0.3">
      <c r="A216" s="101">
        <v>212</v>
      </c>
      <c r="B216" s="82" t="s">
        <v>26</v>
      </c>
      <c r="C216" s="82" t="s">
        <v>380</v>
      </c>
      <c r="D216" s="83" t="s">
        <v>80</v>
      </c>
      <c r="E216" s="83" t="s">
        <v>29</v>
      </c>
      <c r="F216" s="83" t="s">
        <v>30</v>
      </c>
      <c r="G216" s="118"/>
      <c r="H216" s="102">
        <f t="shared" si="12"/>
        <v>6421.89</v>
      </c>
      <c r="I216" s="119"/>
      <c r="J216" s="88">
        <v>5132.3900000000003</v>
      </c>
      <c r="K216" s="89">
        <f t="shared" si="15"/>
        <v>5132.3900000000003</v>
      </c>
      <c r="L216" s="103">
        <f>667.5+11.4+39.2</f>
        <v>718.1</v>
      </c>
      <c r="M216" s="103">
        <f>273+67.1+39.2</f>
        <v>379.3</v>
      </c>
      <c r="N216" s="88">
        <v>1078.79</v>
      </c>
      <c r="O216" s="91">
        <f t="shared" si="16"/>
        <v>571.4</v>
      </c>
      <c r="P216" s="88">
        <v>539</v>
      </c>
      <c r="Q216" s="88">
        <v>32.4</v>
      </c>
      <c r="R216" s="88"/>
      <c r="S216" s="92">
        <f t="shared" si="14"/>
        <v>5850.4900000000007</v>
      </c>
      <c r="T216" s="93" t="s">
        <v>57</v>
      </c>
      <c r="U216" s="82" t="s">
        <v>383</v>
      </c>
      <c r="V216" s="83" t="s">
        <v>80</v>
      </c>
      <c r="W216" s="83" t="s">
        <v>29</v>
      </c>
      <c r="X216" s="82" t="s">
        <v>29</v>
      </c>
      <c r="Y216" s="94" t="e">
        <f>#REF!-H216</f>
        <v>#REF!</v>
      </c>
      <c r="Z216" s="95" t="e">
        <f>#REF!-J216</f>
        <v>#REF!</v>
      </c>
      <c r="AA216" s="96" t="e">
        <f>#REF!-L216</f>
        <v>#REF!</v>
      </c>
      <c r="AB216" s="95" t="e">
        <f>#REF!-N216</f>
        <v>#REF!</v>
      </c>
      <c r="AC216" s="94" t="e">
        <f>(#REF!+#REF!)-S216</f>
        <v>#REF!</v>
      </c>
      <c r="AD216" s="96" t="e">
        <f>AC216/(#REF!+#REF!)*100</f>
        <v>#REF!</v>
      </c>
      <c r="AE216" s="98"/>
      <c r="AF216" s="98"/>
      <c r="AG216" s="99"/>
      <c r="AH216" s="136" t="s">
        <v>114</v>
      </c>
    </row>
    <row r="217" spans="1:34" s="69" customFormat="1" x14ac:dyDescent="0.3">
      <c r="A217" s="75">
        <v>213</v>
      </c>
      <c r="B217" s="34" t="s">
        <v>26</v>
      </c>
      <c r="C217" s="34" t="s">
        <v>380</v>
      </c>
      <c r="D217" s="35" t="s">
        <v>83</v>
      </c>
      <c r="E217" s="35" t="s">
        <v>29</v>
      </c>
      <c r="F217" s="35" t="s">
        <v>30</v>
      </c>
      <c r="G217" s="115"/>
      <c r="H217" s="38">
        <f t="shared" si="12"/>
        <v>1980.7800000000002</v>
      </c>
      <c r="I217" s="116"/>
      <c r="J217" s="40">
        <v>1487.45</v>
      </c>
      <c r="K217" s="41">
        <f t="shared" si="15"/>
        <v>1487.45</v>
      </c>
      <c r="L217" s="42">
        <v>274.45999999999998</v>
      </c>
      <c r="M217" s="42"/>
      <c r="N217" s="40">
        <v>218.87</v>
      </c>
      <c r="O217" s="43">
        <f t="shared" si="16"/>
        <v>218.87</v>
      </c>
      <c r="P217" s="41">
        <f>510*AE217</f>
        <v>198.44213333333335</v>
      </c>
      <c r="Q217" s="41">
        <f>52.5*AE217</f>
        <v>20.427866666666667</v>
      </c>
      <c r="R217" s="40"/>
      <c r="S217" s="76">
        <f t="shared" si="14"/>
        <v>1761.91</v>
      </c>
      <c r="T217" s="35" t="s">
        <v>390</v>
      </c>
      <c r="U217" s="34" t="s">
        <v>383</v>
      </c>
      <c r="V217" s="35" t="s">
        <v>83</v>
      </c>
      <c r="W217" s="35" t="s">
        <v>29</v>
      </c>
      <c r="X217" s="34" t="s">
        <v>29</v>
      </c>
      <c r="Y217" s="77" t="e">
        <f>#REF!-H217</f>
        <v>#REF!</v>
      </c>
      <c r="Z217" s="78" t="e">
        <f>#REF!-J217</f>
        <v>#REF!</v>
      </c>
      <c r="AA217" s="79" t="e">
        <f>#REF!-L217</f>
        <v>#REF!</v>
      </c>
      <c r="AB217" s="78" t="e">
        <f>#REF!-N217</f>
        <v>#REF!</v>
      </c>
      <c r="AC217" s="77" t="e">
        <f>(#REF!+#REF!)-S217</f>
        <v>#REF!</v>
      </c>
      <c r="AD217" s="79" t="e">
        <f>AC217/(#REF!+#REF!)*100</f>
        <v>#REF!</v>
      </c>
      <c r="AE217" s="69">
        <f>N217/562.5</f>
        <v>0.38910222222222224</v>
      </c>
      <c r="AF217" s="69">
        <v>562.5</v>
      </c>
      <c r="AG217" s="81"/>
      <c r="AH217" s="33" t="s">
        <v>34</v>
      </c>
    </row>
    <row r="218" spans="1:34" s="69" customFormat="1" x14ac:dyDescent="0.3">
      <c r="A218" s="75">
        <v>214</v>
      </c>
      <c r="B218" s="34" t="s">
        <v>26</v>
      </c>
      <c r="C218" s="34" t="s">
        <v>380</v>
      </c>
      <c r="D218" s="35" t="s">
        <v>83</v>
      </c>
      <c r="E218" s="35" t="s">
        <v>29</v>
      </c>
      <c r="F218" s="35" t="s">
        <v>30</v>
      </c>
      <c r="G218" s="115"/>
      <c r="H218" s="38">
        <f t="shared" si="12"/>
        <v>3100.7599999999998</v>
      </c>
      <c r="I218" s="116">
        <v>46.87</v>
      </c>
      <c r="J218" s="40">
        <f>2335.38-46.8</f>
        <v>2288.58</v>
      </c>
      <c r="K218" s="41">
        <f t="shared" si="15"/>
        <v>2335.4499999999998</v>
      </c>
      <c r="L218" s="42">
        <f>430.9-9.22</f>
        <v>421.67999999999995</v>
      </c>
      <c r="M218" s="42"/>
      <c r="N218" s="40">
        <v>343.63</v>
      </c>
      <c r="O218" s="43">
        <f t="shared" si="16"/>
        <v>343.63</v>
      </c>
      <c r="P218" s="41">
        <f>510*AE218</f>
        <v>311.55786666666665</v>
      </c>
      <c r="Q218" s="41">
        <f>52.5*AE218</f>
        <v>32.072133333333333</v>
      </c>
      <c r="R218" s="40"/>
      <c r="S218" s="76">
        <f t="shared" si="14"/>
        <v>2757.1299999999997</v>
      </c>
      <c r="T218" s="35" t="s">
        <v>391</v>
      </c>
      <c r="U218" s="34" t="s">
        <v>383</v>
      </c>
      <c r="V218" s="35" t="s">
        <v>83</v>
      </c>
      <c r="W218" s="35" t="s">
        <v>29</v>
      </c>
      <c r="X218" s="34" t="s">
        <v>29</v>
      </c>
      <c r="Y218" s="77" t="e">
        <f>#REF!-H218</f>
        <v>#REF!</v>
      </c>
      <c r="Z218" s="78" t="e">
        <f>#REF!-J218</f>
        <v>#REF!</v>
      </c>
      <c r="AA218" s="79" t="e">
        <f>#REF!-L218</f>
        <v>#REF!</v>
      </c>
      <c r="AB218" s="78" t="e">
        <f>#REF!-N218</f>
        <v>#REF!</v>
      </c>
      <c r="AC218" s="77" t="e">
        <f>(#REF!+#REF!)-S218</f>
        <v>#REF!</v>
      </c>
      <c r="AD218" s="79" t="e">
        <f>AC218/(#REF!+#REF!)*100</f>
        <v>#REF!</v>
      </c>
      <c r="AE218" s="69">
        <f>N218/562.5</f>
        <v>0.61089777777777776</v>
      </c>
      <c r="AG218" s="81"/>
      <c r="AH218" s="33" t="s">
        <v>34</v>
      </c>
    </row>
    <row r="219" spans="1:34" s="69" customFormat="1" x14ac:dyDescent="0.3">
      <c r="A219" s="101">
        <v>215</v>
      </c>
      <c r="B219" s="34" t="s">
        <v>26</v>
      </c>
      <c r="C219" s="34" t="s">
        <v>380</v>
      </c>
      <c r="D219" s="35" t="s">
        <v>107</v>
      </c>
      <c r="E219" s="35" t="s">
        <v>392</v>
      </c>
      <c r="F219" s="35" t="s">
        <v>30</v>
      </c>
      <c r="G219" s="115" t="s">
        <v>31</v>
      </c>
      <c r="H219" s="38">
        <f t="shared" si="12"/>
        <v>2596.2800000000002</v>
      </c>
      <c r="I219" s="116"/>
      <c r="J219" s="40">
        <v>2024.98</v>
      </c>
      <c r="K219" s="41">
        <f t="shared" si="15"/>
        <v>2024.98</v>
      </c>
      <c r="L219" s="42">
        <v>305.39999999999998</v>
      </c>
      <c r="M219" s="42"/>
      <c r="N219" s="40">
        <v>265.89999999999998</v>
      </c>
      <c r="O219" s="43">
        <f t="shared" si="16"/>
        <v>265.89999999999998</v>
      </c>
      <c r="P219" s="40">
        <v>244</v>
      </c>
      <c r="Q219" s="40">
        <v>21.9</v>
      </c>
      <c r="R219" s="40"/>
      <c r="S219" s="76">
        <f t="shared" si="14"/>
        <v>2330.38</v>
      </c>
      <c r="T219" s="35" t="s">
        <v>393</v>
      </c>
      <c r="U219" s="34" t="s">
        <v>383</v>
      </c>
      <c r="V219" s="35" t="s">
        <v>107</v>
      </c>
      <c r="W219" s="35" t="s">
        <v>29</v>
      </c>
      <c r="X219" s="34" t="s">
        <v>29</v>
      </c>
      <c r="Y219" s="77" t="e">
        <f>#REF!-H219</f>
        <v>#REF!</v>
      </c>
      <c r="Z219" s="78" t="e">
        <f>#REF!-J219</f>
        <v>#REF!</v>
      </c>
      <c r="AA219" s="79" t="e">
        <f>#REF!-L219</f>
        <v>#REF!</v>
      </c>
      <c r="AB219" s="78" t="e">
        <f>#REF!-N219</f>
        <v>#REF!</v>
      </c>
      <c r="AC219" s="77" t="e">
        <f>(#REF!+#REF!)-S219</f>
        <v>#REF!</v>
      </c>
      <c r="AD219" s="79" t="e">
        <f>AC219/(#REF!+#REF!)*100</f>
        <v>#REF!</v>
      </c>
      <c r="AG219" s="81"/>
      <c r="AH219" s="33" t="s">
        <v>34</v>
      </c>
    </row>
    <row r="220" spans="1:34" s="69" customFormat="1" x14ac:dyDescent="0.3">
      <c r="A220" s="75">
        <v>216</v>
      </c>
      <c r="B220" s="34" t="s">
        <v>26</v>
      </c>
      <c r="C220" s="34" t="s">
        <v>380</v>
      </c>
      <c r="D220" s="35" t="s">
        <v>109</v>
      </c>
      <c r="E220" s="35" t="s">
        <v>29</v>
      </c>
      <c r="F220" s="35" t="s">
        <v>30</v>
      </c>
      <c r="G220" s="115" t="s">
        <v>31</v>
      </c>
      <c r="H220" s="38">
        <f t="shared" si="12"/>
        <v>18892.009999999998</v>
      </c>
      <c r="I220" s="116"/>
      <c r="J220" s="40">
        <f>13634.85+48.36</f>
        <v>13683.210000000001</v>
      </c>
      <c r="K220" s="41">
        <f t="shared" si="15"/>
        <v>13683.210000000001</v>
      </c>
      <c r="L220" s="42">
        <v>2619.6999999999998</v>
      </c>
      <c r="M220" s="42"/>
      <c r="N220" s="40">
        <v>2589.1</v>
      </c>
      <c r="O220" s="43">
        <f t="shared" si="16"/>
        <v>2589.1</v>
      </c>
      <c r="P220" s="40">
        <v>2414</v>
      </c>
      <c r="Q220" s="40">
        <v>175.1</v>
      </c>
      <c r="R220" s="40"/>
      <c r="S220" s="76">
        <f t="shared" si="14"/>
        <v>16302.91</v>
      </c>
      <c r="T220" s="35" t="s">
        <v>394</v>
      </c>
      <c r="U220" s="34" t="s">
        <v>383</v>
      </c>
      <c r="V220" s="35" t="s">
        <v>109</v>
      </c>
      <c r="W220" s="35" t="s">
        <v>29</v>
      </c>
      <c r="X220" s="34" t="s">
        <v>29</v>
      </c>
      <c r="Y220" s="77" t="e">
        <f>#REF!-H220</f>
        <v>#REF!</v>
      </c>
      <c r="Z220" s="78" t="e">
        <f>#REF!-J220</f>
        <v>#REF!</v>
      </c>
      <c r="AA220" s="79" t="e">
        <f>#REF!-L220</f>
        <v>#REF!</v>
      </c>
      <c r="AB220" s="78" t="e">
        <f>#REF!-N220</f>
        <v>#REF!</v>
      </c>
      <c r="AC220" s="77" t="e">
        <f>(#REF!+#REF!)-S220</f>
        <v>#REF!</v>
      </c>
      <c r="AD220" s="79" t="e">
        <f>AC220/(#REF!+#REF!)*100</f>
        <v>#REF!</v>
      </c>
      <c r="AG220" s="81"/>
      <c r="AH220" s="33" t="s">
        <v>34</v>
      </c>
    </row>
    <row r="221" spans="1:34" s="69" customFormat="1" x14ac:dyDescent="0.3">
      <c r="A221" s="75">
        <v>217</v>
      </c>
      <c r="B221" s="34" t="s">
        <v>26</v>
      </c>
      <c r="C221" s="34" t="s">
        <v>380</v>
      </c>
      <c r="D221" s="35" t="s">
        <v>258</v>
      </c>
      <c r="E221" s="35" t="s">
        <v>29</v>
      </c>
      <c r="F221" s="35" t="s">
        <v>30</v>
      </c>
      <c r="G221" s="115"/>
      <c r="H221" s="105">
        <f t="shared" si="12"/>
        <v>3351.9100000000003</v>
      </c>
      <c r="I221" s="116"/>
      <c r="J221" s="40">
        <v>2496.5100000000002</v>
      </c>
      <c r="K221" s="41">
        <f t="shared" si="15"/>
        <v>2496.5100000000002</v>
      </c>
      <c r="L221" s="106">
        <f>405.6+88.9</f>
        <v>494.5</v>
      </c>
      <c r="M221" s="106">
        <v>88.9</v>
      </c>
      <c r="N221" s="40">
        <v>346.4</v>
      </c>
      <c r="O221" s="39">
        <f t="shared" si="16"/>
        <v>360.9</v>
      </c>
      <c r="P221" s="40">
        <v>329</v>
      </c>
      <c r="Q221" s="40">
        <v>23.4</v>
      </c>
      <c r="R221" s="40">
        <v>8.5</v>
      </c>
      <c r="S221" s="76">
        <f t="shared" si="14"/>
        <v>2991.01</v>
      </c>
      <c r="T221" s="35" t="s">
        <v>395</v>
      </c>
      <c r="U221" s="34" t="s">
        <v>383</v>
      </c>
      <c r="V221" s="35" t="s">
        <v>258</v>
      </c>
      <c r="W221" s="35" t="s">
        <v>29</v>
      </c>
      <c r="X221" s="34" t="s">
        <v>29</v>
      </c>
      <c r="Y221" s="77" t="e">
        <f>#REF!-H221</f>
        <v>#REF!</v>
      </c>
      <c r="Z221" s="78" t="e">
        <f>#REF!-J221</f>
        <v>#REF!</v>
      </c>
      <c r="AA221" s="79" t="e">
        <f>#REF!-L221</f>
        <v>#REF!</v>
      </c>
      <c r="AB221" s="78" t="e">
        <f>#REF!-N221</f>
        <v>#REF!</v>
      </c>
      <c r="AC221" s="77" t="e">
        <f>(#REF!+#REF!)-S221</f>
        <v>#REF!</v>
      </c>
      <c r="AD221" s="79" t="e">
        <f>AC221/(#REF!+#REF!)*100</f>
        <v>#REF!</v>
      </c>
      <c r="AG221" s="81"/>
      <c r="AH221" s="33" t="s">
        <v>34</v>
      </c>
    </row>
    <row r="222" spans="1:34" s="69" customFormat="1" x14ac:dyDescent="0.3">
      <c r="A222" s="101">
        <v>218</v>
      </c>
      <c r="B222" s="34" t="s">
        <v>26</v>
      </c>
      <c r="C222" s="34" t="s">
        <v>380</v>
      </c>
      <c r="D222" s="35" t="s">
        <v>205</v>
      </c>
      <c r="E222" s="35" t="s">
        <v>31</v>
      </c>
      <c r="F222" s="35" t="s">
        <v>30</v>
      </c>
      <c r="G222" s="115"/>
      <c r="H222" s="38">
        <f t="shared" si="12"/>
        <v>2816.75</v>
      </c>
      <c r="I222" s="116"/>
      <c r="J222" s="40">
        <v>2371.5300000000002</v>
      </c>
      <c r="K222" s="41">
        <f t="shared" si="15"/>
        <v>2371.5300000000002</v>
      </c>
      <c r="L222" s="42">
        <v>144.02000000000001</v>
      </c>
      <c r="M222" s="42"/>
      <c r="N222" s="40">
        <v>301.12</v>
      </c>
      <c r="O222" s="43">
        <f t="shared" si="16"/>
        <v>301.2</v>
      </c>
      <c r="P222" s="40">
        <v>262</v>
      </c>
      <c r="Q222" s="40">
        <v>39.200000000000003</v>
      </c>
      <c r="R222" s="40"/>
      <c r="S222" s="76">
        <f t="shared" si="14"/>
        <v>2515.5500000000002</v>
      </c>
      <c r="T222" s="35" t="s">
        <v>396</v>
      </c>
      <c r="U222" s="34" t="s">
        <v>383</v>
      </c>
      <c r="V222" s="35" t="s">
        <v>205</v>
      </c>
      <c r="W222" s="35" t="s">
        <v>31</v>
      </c>
      <c r="X222" s="34" t="s">
        <v>29</v>
      </c>
      <c r="Y222" s="77" t="e">
        <f>#REF!-H222</f>
        <v>#REF!</v>
      </c>
      <c r="Z222" s="78" t="e">
        <f>#REF!-J222</f>
        <v>#REF!</v>
      </c>
      <c r="AA222" s="79" t="e">
        <f>#REF!-L222</f>
        <v>#REF!</v>
      </c>
      <c r="AB222" s="78" t="e">
        <f>#REF!-N222</f>
        <v>#REF!</v>
      </c>
      <c r="AC222" s="77" t="e">
        <f>(#REF!+#REF!)-S222</f>
        <v>#REF!</v>
      </c>
      <c r="AD222" s="79" t="e">
        <f>AC222/(#REF!+#REF!)*100</f>
        <v>#REF!</v>
      </c>
      <c r="AG222" s="81"/>
      <c r="AH222" s="33" t="s">
        <v>34</v>
      </c>
    </row>
    <row r="223" spans="1:34" s="69" customFormat="1" x14ac:dyDescent="0.3">
      <c r="A223" s="75">
        <v>219</v>
      </c>
      <c r="B223" s="34" t="s">
        <v>26</v>
      </c>
      <c r="C223" s="34" t="s">
        <v>380</v>
      </c>
      <c r="D223" s="35" t="s">
        <v>205</v>
      </c>
      <c r="E223" s="35" t="s">
        <v>161</v>
      </c>
      <c r="F223" s="35" t="s">
        <v>238</v>
      </c>
      <c r="G223" s="115"/>
      <c r="H223" s="38">
        <f t="shared" si="12"/>
        <v>2848.27</v>
      </c>
      <c r="I223" s="116"/>
      <c r="J223" s="40">
        <v>2543.38</v>
      </c>
      <c r="K223" s="41">
        <f t="shared" si="15"/>
        <v>2543.38</v>
      </c>
      <c r="L223" s="42">
        <v>0</v>
      </c>
      <c r="M223" s="42"/>
      <c r="N223" s="40">
        <v>304.89</v>
      </c>
      <c r="O223" s="43">
        <f t="shared" si="16"/>
        <v>304.89</v>
      </c>
      <c r="P223" s="40">
        <v>266</v>
      </c>
      <c r="Q223" s="40">
        <v>38.89</v>
      </c>
      <c r="R223" s="40"/>
      <c r="S223" s="76">
        <f t="shared" si="14"/>
        <v>2543.38</v>
      </c>
      <c r="T223" s="35" t="s">
        <v>397</v>
      </c>
      <c r="U223" s="34" t="s">
        <v>383</v>
      </c>
      <c r="V223" s="35" t="s">
        <v>205</v>
      </c>
      <c r="W223" s="35" t="s">
        <v>161</v>
      </c>
      <c r="X223" s="34" t="s">
        <v>29</v>
      </c>
      <c r="Y223" s="77" t="e">
        <f>#REF!-H223</f>
        <v>#REF!</v>
      </c>
      <c r="Z223" s="78" t="e">
        <f>#REF!-J223</f>
        <v>#REF!</v>
      </c>
      <c r="AA223" s="79" t="e">
        <f>#REF!-L223</f>
        <v>#REF!</v>
      </c>
      <c r="AB223" s="78" t="e">
        <f>#REF!-N223</f>
        <v>#REF!</v>
      </c>
      <c r="AC223" s="77" t="e">
        <f>(#REF!+#REF!)-S223</f>
        <v>#REF!</v>
      </c>
      <c r="AD223" s="79" t="e">
        <f>AC223/(#REF!+#REF!)*100</f>
        <v>#REF!</v>
      </c>
      <c r="AG223" s="81"/>
      <c r="AH223" s="33" t="s">
        <v>34</v>
      </c>
    </row>
    <row r="224" spans="1:34" s="69" customFormat="1" x14ac:dyDescent="0.3">
      <c r="A224" s="75">
        <v>220</v>
      </c>
      <c r="B224" s="34" t="s">
        <v>26</v>
      </c>
      <c r="C224" s="34" t="s">
        <v>380</v>
      </c>
      <c r="D224" s="35" t="s">
        <v>268</v>
      </c>
      <c r="E224" s="35" t="s">
        <v>31</v>
      </c>
      <c r="F224" s="35" t="s">
        <v>30</v>
      </c>
      <c r="G224" s="115" t="s">
        <v>31</v>
      </c>
      <c r="H224" s="38">
        <f t="shared" si="12"/>
        <v>6374.19</v>
      </c>
      <c r="I224" s="116"/>
      <c r="J224" s="40">
        <v>5258.49</v>
      </c>
      <c r="K224" s="41">
        <f t="shared" si="15"/>
        <v>5258.49</v>
      </c>
      <c r="L224" s="42">
        <v>220.5</v>
      </c>
      <c r="M224" s="42"/>
      <c r="N224" s="40">
        <v>669.58</v>
      </c>
      <c r="O224" s="43">
        <f t="shared" si="16"/>
        <v>895.2</v>
      </c>
      <c r="P224" s="40">
        <v>623</v>
      </c>
      <c r="Q224" s="40">
        <v>67</v>
      </c>
      <c r="R224" s="40">
        <v>205.2</v>
      </c>
      <c r="S224" s="76">
        <f t="shared" si="14"/>
        <v>5478.99</v>
      </c>
      <c r="T224" s="35" t="s">
        <v>398</v>
      </c>
      <c r="U224" s="34" t="s">
        <v>383</v>
      </c>
      <c r="V224" s="35" t="s">
        <v>268</v>
      </c>
      <c r="W224" s="35" t="s">
        <v>31</v>
      </c>
      <c r="X224" s="34" t="s">
        <v>29</v>
      </c>
      <c r="Y224" s="77" t="e">
        <f>#REF!-H224</f>
        <v>#REF!</v>
      </c>
      <c r="Z224" s="78" t="e">
        <f>#REF!-J224</f>
        <v>#REF!</v>
      </c>
      <c r="AA224" s="79" t="e">
        <f>#REF!-L224</f>
        <v>#REF!</v>
      </c>
      <c r="AB224" s="78" t="e">
        <f>#REF!-N224</f>
        <v>#REF!</v>
      </c>
      <c r="AC224" s="77" t="e">
        <f>(#REF!+#REF!)-S224</f>
        <v>#REF!</v>
      </c>
      <c r="AD224" s="79" t="e">
        <f>AC224/(#REF!+#REF!)*100</f>
        <v>#REF!</v>
      </c>
      <c r="AG224" s="81"/>
      <c r="AH224" s="33" t="s">
        <v>34</v>
      </c>
    </row>
    <row r="225" spans="1:34" s="69" customFormat="1" x14ac:dyDescent="0.3">
      <c r="A225" s="75">
        <v>221</v>
      </c>
      <c r="B225" s="34" t="s">
        <v>26</v>
      </c>
      <c r="C225" s="34" t="s">
        <v>380</v>
      </c>
      <c r="D225" s="35" t="s">
        <v>113</v>
      </c>
      <c r="E225" s="35" t="s">
        <v>29</v>
      </c>
      <c r="F225" s="35" t="s">
        <v>30</v>
      </c>
      <c r="G225" s="115"/>
      <c r="H225" s="38">
        <f t="shared" si="12"/>
        <v>4492.0600000000004</v>
      </c>
      <c r="I225" s="116"/>
      <c r="J225" s="40">
        <v>3339.86</v>
      </c>
      <c r="K225" s="41">
        <f t="shared" si="15"/>
        <v>3339.86</v>
      </c>
      <c r="L225" s="42">
        <v>561.20000000000005</v>
      </c>
      <c r="M225" s="42"/>
      <c r="N225" s="40">
        <v>591</v>
      </c>
      <c r="O225" s="43">
        <f t="shared" si="16"/>
        <v>591</v>
      </c>
      <c r="P225" s="40">
        <v>484</v>
      </c>
      <c r="Q225" s="40">
        <v>107</v>
      </c>
      <c r="R225" s="40"/>
      <c r="S225" s="76">
        <f t="shared" si="14"/>
        <v>3901.0600000000004</v>
      </c>
      <c r="T225" s="35" t="s">
        <v>399</v>
      </c>
      <c r="U225" s="34" t="s">
        <v>383</v>
      </c>
      <c r="V225" s="35" t="s">
        <v>113</v>
      </c>
      <c r="W225" s="35" t="s">
        <v>29</v>
      </c>
      <c r="X225" s="34" t="s">
        <v>29</v>
      </c>
      <c r="Y225" s="77" t="e">
        <f>#REF!-H225</f>
        <v>#REF!</v>
      </c>
      <c r="Z225" s="78" t="e">
        <f>#REF!-J225</f>
        <v>#REF!</v>
      </c>
      <c r="AA225" s="79" t="e">
        <f>#REF!-L225</f>
        <v>#REF!</v>
      </c>
      <c r="AB225" s="78" t="e">
        <f>#REF!-N225</f>
        <v>#REF!</v>
      </c>
      <c r="AC225" s="77" t="e">
        <f>(#REF!+#REF!)-S225</f>
        <v>#REF!</v>
      </c>
      <c r="AD225" s="79" t="e">
        <f>AC225/(#REF!+#REF!)*100</f>
        <v>#REF!</v>
      </c>
      <c r="AG225" s="81"/>
      <c r="AH225" s="33" t="s">
        <v>34</v>
      </c>
    </row>
    <row r="226" spans="1:34" s="69" customFormat="1" x14ac:dyDescent="0.3">
      <c r="A226" s="101">
        <v>222</v>
      </c>
      <c r="B226" s="34" t="s">
        <v>26</v>
      </c>
      <c r="C226" s="34" t="s">
        <v>380</v>
      </c>
      <c r="D226" s="35" t="s">
        <v>113</v>
      </c>
      <c r="E226" s="35" t="s">
        <v>161</v>
      </c>
      <c r="F226" s="35" t="s">
        <v>238</v>
      </c>
      <c r="G226" s="115"/>
      <c r="H226" s="38">
        <f t="shared" si="12"/>
        <v>4685.2699999999995</v>
      </c>
      <c r="I226" s="116"/>
      <c r="J226" s="40">
        <v>4202.57</v>
      </c>
      <c r="K226" s="41">
        <f t="shared" si="15"/>
        <v>4202.57</v>
      </c>
      <c r="L226" s="42">
        <v>0</v>
      </c>
      <c r="M226" s="42"/>
      <c r="N226" s="40">
        <v>441</v>
      </c>
      <c r="O226" s="43">
        <f t="shared" si="16"/>
        <v>482.7</v>
      </c>
      <c r="P226" s="40">
        <v>441</v>
      </c>
      <c r="Q226" s="40">
        <v>41.7</v>
      </c>
      <c r="R226" s="40"/>
      <c r="S226" s="76">
        <f t="shared" si="14"/>
        <v>4202.57</v>
      </c>
      <c r="T226" s="35" t="s">
        <v>400</v>
      </c>
      <c r="U226" s="34" t="s">
        <v>383</v>
      </c>
      <c r="V226" s="35" t="s">
        <v>113</v>
      </c>
      <c r="W226" s="35" t="s">
        <v>161</v>
      </c>
      <c r="X226" s="34" t="s">
        <v>29</v>
      </c>
      <c r="Y226" s="77" t="e">
        <f>#REF!-H226</f>
        <v>#REF!</v>
      </c>
      <c r="Z226" s="78" t="e">
        <f>#REF!-J226</f>
        <v>#REF!</v>
      </c>
      <c r="AA226" s="79" t="e">
        <f>#REF!-L226</f>
        <v>#REF!</v>
      </c>
      <c r="AB226" s="78" t="e">
        <f>#REF!-N226</f>
        <v>#REF!</v>
      </c>
      <c r="AC226" s="77" t="e">
        <f>(#REF!+#REF!)-S226</f>
        <v>#REF!</v>
      </c>
      <c r="AD226" s="79" t="e">
        <f>AC226/(#REF!+#REF!)*100</f>
        <v>#REF!</v>
      </c>
      <c r="AG226" s="81"/>
      <c r="AH226" s="33" t="s">
        <v>34</v>
      </c>
    </row>
    <row r="227" spans="1:34" s="69" customFormat="1" x14ac:dyDescent="0.3">
      <c r="A227" s="75">
        <v>223</v>
      </c>
      <c r="B227" s="34" t="s">
        <v>26</v>
      </c>
      <c r="C227" s="34" t="s">
        <v>380</v>
      </c>
      <c r="D227" s="35" t="s">
        <v>116</v>
      </c>
      <c r="E227" s="35" t="s">
        <v>29</v>
      </c>
      <c r="F227" s="35" t="s">
        <v>30</v>
      </c>
      <c r="G227" s="115" t="s">
        <v>31</v>
      </c>
      <c r="H227" s="38">
        <f t="shared" si="12"/>
        <v>6402.06</v>
      </c>
      <c r="I227" s="116"/>
      <c r="J227" s="40">
        <v>1401.06</v>
      </c>
      <c r="K227" s="41">
        <f t="shared" si="15"/>
        <v>1401.06</v>
      </c>
      <c r="L227" s="42">
        <f>4575.3-50.7-5.3</f>
        <v>4519.3</v>
      </c>
      <c r="M227" s="42"/>
      <c r="N227" s="40">
        <v>191</v>
      </c>
      <c r="O227" s="43">
        <f t="shared" si="16"/>
        <v>481.7</v>
      </c>
      <c r="P227" s="40">
        <v>344.9</v>
      </c>
      <c r="Q227" s="40">
        <v>136.80000000000001</v>
      </c>
      <c r="R227" s="40"/>
      <c r="S227" s="76">
        <f t="shared" si="14"/>
        <v>5920.3600000000006</v>
      </c>
      <c r="T227" s="35" t="s">
        <v>401</v>
      </c>
      <c r="U227" s="34" t="s">
        <v>383</v>
      </c>
      <c r="V227" s="35" t="s">
        <v>402</v>
      </c>
      <c r="W227" s="35" t="s">
        <v>29</v>
      </c>
      <c r="X227" s="34" t="s">
        <v>29</v>
      </c>
      <c r="Y227" s="77" t="e">
        <f>#REF!-H227</f>
        <v>#REF!</v>
      </c>
      <c r="Z227" s="78" t="e">
        <f>#REF!-J227</f>
        <v>#REF!</v>
      </c>
      <c r="AA227" s="79" t="e">
        <f>#REF!-L227</f>
        <v>#REF!</v>
      </c>
      <c r="AB227" s="78" t="e">
        <f>#REF!-N227</f>
        <v>#REF!</v>
      </c>
      <c r="AC227" s="77" t="e">
        <f>(#REF!+#REF!)-S227</f>
        <v>#REF!</v>
      </c>
      <c r="AD227" s="79" t="e">
        <f>AC227/(#REF!+#REF!)*100</f>
        <v>#REF!</v>
      </c>
      <c r="AG227" s="81"/>
      <c r="AH227" s="33" t="s">
        <v>34</v>
      </c>
    </row>
    <row r="228" spans="1:34" s="69" customFormat="1" x14ac:dyDescent="0.3">
      <c r="A228" s="75">
        <v>224</v>
      </c>
      <c r="B228" s="34" t="s">
        <v>26</v>
      </c>
      <c r="C228" s="34" t="s">
        <v>380</v>
      </c>
      <c r="D228" s="35" t="s">
        <v>354</v>
      </c>
      <c r="E228" s="35" t="s">
        <v>29</v>
      </c>
      <c r="F228" s="35" t="s">
        <v>30</v>
      </c>
      <c r="G228" s="115"/>
      <c r="H228" s="38">
        <f t="shared" si="12"/>
        <v>5532.95</v>
      </c>
      <c r="I228" s="116"/>
      <c r="J228" s="40">
        <v>4520.25</v>
      </c>
      <c r="K228" s="41">
        <f t="shared" si="15"/>
        <v>4520.25</v>
      </c>
      <c r="L228" s="42">
        <v>395</v>
      </c>
      <c r="M228" s="42"/>
      <c r="N228" s="40">
        <v>617.70000000000005</v>
      </c>
      <c r="O228" s="43">
        <f t="shared" si="16"/>
        <v>617.70000000000005</v>
      </c>
      <c r="P228" s="40">
        <v>581</v>
      </c>
      <c r="Q228" s="40">
        <v>36.700000000000003</v>
      </c>
      <c r="R228" s="40"/>
      <c r="S228" s="76">
        <f t="shared" si="14"/>
        <v>4915.25</v>
      </c>
      <c r="T228" s="35" t="s">
        <v>403</v>
      </c>
      <c r="U228" s="34" t="s">
        <v>383</v>
      </c>
      <c r="V228" s="35" t="s">
        <v>354</v>
      </c>
      <c r="W228" s="35" t="s">
        <v>29</v>
      </c>
      <c r="X228" s="34" t="s">
        <v>29</v>
      </c>
      <c r="Y228" s="77" t="e">
        <f>#REF!-H228</f>
        <v>#REF!</v>
      </c>
      <c r="Z228" s="78" t="e">
        <f>#REF!-J228</f>
        <v>#REF!</v>
      </c>
      <c r="AA228" s="79" t="e">
        <f>#REF!-L228</f>
        <v>#REF!</v>
      </c>
      <c r="AB228" s="78" t="e">
        <f>#REF!-N228</f>
        <v>#REF!</v>
      </c>
      <c r="AC228" s="77" t="e">
        <f>(#REF!+#REF!)-S228</f>
        <v>#REF!</v>
      </c>
      <c r="AD228" s="79" t="e">
        <f>AC228/(#REF!+#REF!)*100</f>
        <v>#REF!</v>
      </c>
      <c r="AG228" s="81"/>
      <c r="AH228" s="33" t="s">
        <v>34</v>
      </c>
    </row>
    <row r="229" spans="1:34" s="69" customFormat="1" x14ac:dyDescent="0.3">
      <c r="A229" s="101">
        <v>225</v>
      </c>
      <c r="B229" s="34" t="s">
        <v>26</v>
      </c>
      <c r="C229" s="34" t="s">
        <v>380</v>
      </c>
      <c r="D229" s="35" t="s">
        <v>274</v>
      </c>
      <c r="E229" s="35" t="s">
        <v>29</v>
      </c>
      <c r="F229" s="35" t="s">
        <v>30</v>
      </c>
      <c r="G229" s="115"/>
      <c r="H229" s="38">
        <f t="shared" si="12"/>
        <v>3769.52</v>
      </c>
      <c r="I229" s="116"/>
      <c r="J229" s="40">
        <v>2746.96</v>
      </c>
      <c r="K229" s="41">
        <f t="shared" si="15"/>
        <v>2746.96</v>
      </c>
      <c r="L229" s="42">
        <v>707.46</v>
      </c>
      <c r="M229" s="42"/>
      <c r="N229" s="40">
        <v>315.10000000000002</v>
      </c>
      <c r="O229" s="43">
        <f t="shared" si="16"/>
        <v>315.10000000000002</v>
      </c>
      <c r="P229" s="40">
        <v>303</v>
      </c>
      <c r="Q229" s="40">
        <v>12.1</v>
      </c>
      <c r="R229" s="40"/>
      <c r="S229" s="76">
        <f t="shared" si="14"/>
        <v>3454.42</v>
      </c>
      <c r="T229" s="35" t="s">
        <v>404</v>
      </c>
      <c r="U229" s="34" t="s">
        <v>383</v>
      </c>
      <c r="V229" s="35" t="s">
        <v>274</v>
      </c>
      <c r="W229" s="35" t="s">
        <v>29</v>
      </c>
      <c r="X229" s="34" t="s">
        <v>29</v>
      </c>
      <c r="Y229" s="77" t="e">
        <f>#REF!-H229</f>
        <v>#REF!</v>
      </c>
      <c r="Z229" s="78" t="e">
        <f>#REF!-J229</f>
        <v>#REF!</v>
      </c>
      <c r="AA229" s="79" t="e">
        <f>#REF!-L229</f>
        <v>#REF!</v>
      </c>
      <c r="AB229" s="78" t="e">
        <f>#REF!-N229</f>
        <v>#REF!</v>
      </c>
      <c r="AC229" s="77" t="e">
        <f>(#REF!+#REF!)-S229</f>
        <v>#REF!</v>
      </c>
      <c r="AD229" s="79" t="e">
        <f>AC229/(#REF!+#REF!)*100</f>
        <v>#REF!</v>
      </c>
      <c r="AG229" s="81"/>
      <c r="AH229" s="33" t="s">
        <v>34</v>
      </c>
    </row>
    <row r="230" spans="1:34" s="69" customFormat="1" ht="21" x14ac:dyDescent="0.3">
      <c r="A230" s="75">
        <v>226</v>
      </c>
      <c r="B230" s="82" t="s">
        <v>26</v>
      </c>
      <c r="C230" s="82" t="s">
        <v>380</v>
      </c>
      <c r="D230" s="83" t="s">
        <v>118</v>
      </c>
      <c r="E230" s="83" t="s">
        <v>29</v>
      </c>
      <c r="F230" s="83" t="s">
        <v>30</v>
      </c>
      <c r="G230" s="118"/>
      <c r="H230" s="86">
        <f t="shared" si="12"/>
        <v>3825.6800000000003</v>
      </c>
      <c r="I230" s="119"/>
      <c r="J230" s="88">
        <v>2784.88</v>
      </c>
      <c r="K230" s="89">
        <f t="shared" si="15"/>
        <v>2784.88</v>
      </c>
      <c r="L230" s="90">
        <v>703.8</v>
      </c>
      <c r="M230" s="90"/>
      <c r="N230" s="88">
        <v>337</v>
      </c>
      <c r="O230" s="91">
        <f t="shared" si="16"/>
        <v>337</v>
      </c>
      <c r="P230" s="88">
        <v>337</v>
      </c>
      <c r="Q230" s="88"/>
      <c r="R230" s="88"/>
      <c r="S230" s="92">
        <f t="shared" si="14"/>
        <v>3488.6800000000003</v>
      </c>
      <c r="T230" s="93" t="s">
        <v>57</v>
      </c>
      <c r="U230" s="82" t="s">
        <v>383</v>
      </c>
      <c r="V230" s="83" t="s">
        <v>118</v>
      </c>
      <c r="W230" s="83" t="s">
        <v>29</v>
      </c>
      <c r="X230" s="82" t="s">
        <v>29</v>
      </c>
      <c r="Y230" s="94" t="e">
        <f>#REF!-H230</f>
        <v>#REF!</v>
      </c>
      <c r="Z230" s="95" t="e">
        <f>#REF!-J230</f>
        <v>#REF!</v>
      </c>
      <c r="AA230" s="96" t="e">
        <f>#REF!-L230</f>
        <v>#REF!</v>
      </c>
      <c r="AB230" s="95" t="e">
        <f>#REF!-N230</f>
        <v>#REF!</v>
      </c>
      <c r="AC230" s="94" t="e">
        <f>(#REF!+#REF!)-S230</f>
        <v>#REF!</v>
      </c>
      <c r="AD230" s="96" t="e">
        <f>AC230/(#REF!+#REF!)*100</f>
        <v>#REF!</v>
      </c>
      <c r="AE230" s="98"/>
      <c r="AF230" s="98"/>
      <c r="AG230" s="99"/>
      <c r="AH230" s="136" t="s">
        <v>114</v>
      </c>
    </row>
    <row r="231" spans="1:34" s="69" customFormat="1" ht="21" x14ac:dyDescent="0.3">
      <c r="A231" s="75">
        <v>227</v>
      </c>
      <c r="B231" s="82" t="s">
        <v>26</v>
      </c>
      <c r="C231" s="82" t="s">
        <v>380</v>
      </c>
      <c r="D231" s="83" t="s">
        <v>276</v>
      </c>
      <c r="E231" s="83" t="s">
        <v>29</v>
      </c>
      <c r="F231" s="83" t="s">
        <v>30</v>
      </c>
      <c r="G231" s="118"/>
      <c r="H231" s="86">
        <f t="shared" si="12"/>
        <v>2867.14</v>
      </c>
      <c r="I231" s="119"/>
      <c r="J231" s="88">
        <f>2569.56+0.08</f>
        <v>2569.64</v>
      </c>
      <c r="K231" s="89">
        <f t="shared" si="15"/>
        <v>2569.64</v>
      </c>
      <c r="L231" s="90">
        <v>0</v>
      </c>
      <c r="M231" s="90"/>
      <c r="N231" s="88">
        <v>281</v>
      </c>
      <c r="O231" s="91">
        <f t="shared" si="16"/>
        <v>297.5</v>
      </c>
      <c r="P231" s="88">
        <v>281</v>
      </c>
      <c r="Q231" s="88">
        <v>16.5</v>
      </c>
      <c r="R231" s="88"/>
      <c r="S231" s="92">
        <f t="shared" si="14"/>
        <v>2569.64</v>
      </c>
      <c r="T231" s="93" t="s">
        <v>57</v>
      </c>
      <c r="U231" s="82" t="s">
        <v>383</v>
      </c>
      <c r="V231" s="83" t="s">
        <v>276</v>
      </c>
      <c r="W231" s="83" t="s">
        <v>29</v>
      </c>
      <c r="X231" s="82" t="s">
        <v>29</v>
      </c>
      <c r="Y231" s="94" t="e">
        <f>#REF!-H231</f>
        <v>#REF!</v>
      </c>
      <c r="Z231" s="95" t="e">
        <f>#REF!-J231</f>
        <v>#REF!</v>
      </c>
      <c r="AA231" s="96" t="e">
        <f>#REF!-L231</f>
        <v>#REF!</v>
      </c>
      <c r="AB231" s="95" t="e">
        <f>#REF!-N231</f>
        <v>#REF!</v>
      </c>
      <c r="AC231" s="94" t="e">
        <f>(#REF!+#REF!)-S231</f>
        <v>#REF!</v>
      </c>
      <c r="AD231" s="96" t="e">
        <f>AC231/(#REF!+#REF!)*100</f>
        <v>#REF!</v>
      </c>
      <c r="AE231" s="98"/>
      <c r="AF231" s="98"/>
      <c r="AG231" s="99"/>
      <c r="AH231" s="136" t="s">
        <v>114</v>
      </c>
    </row>
    <row r="232" spans="1:34" s="69" customFormat="1" x14ac:dyDescent="0.3">
      <c r="A232" s="101">
        <v>228</v>
      </c>
      <c r="B232" s="34" t="s">
        <v>26</v>
      </c>
      <c r="C232" s="34" t="s">
        <v>380</v>
      </c>
      <c r="D232" s="35" t="s">
        <v>120</v>
      </c>
      <c r="E232" s="35" t="s">
        <v>29</v>
      </c>
      <c r="F232" s="35" t="s">
        <v>30</v>
      </c>
      <c r="G232" s="115"/>
      <c r="H232" s="38">
        <f t="shared" si="12"/>
        <v>2875.12</v>
      </c>
      <c r="I232" s="116"/>
      <c r="J232" s="40">
        <v>2401.12</v>
      </c>
      <c r="K232" s="41">
        <f t="shared" si="15"/>
        <v>2401.12</v>
      </c>
      <c r="L232" s="42">
        <v>147.69999999999999</v>
      </c>
      <c r="M232" s="42"/>
      <c r="N232" s="40">
        <v>326.2</v>
      </c>
      <c r="O232" s="43">
        <f t="shared" si="16"/>
        <v>326.3</v>
      </c>
      <c r="P232" s="40">
        <v>286</v>
      </c>
      <c r="Q232" s="40">
        <v>40.299999999999997</v>
      </c>
      <c r="R232" s="40"/>
      <c r="S232" s="76">
        <f t="shared" si="14"/>
        <v>2548.8199999999997</v>
      </c>
      <c r="T232" s="35" t="s">
        <v>405</v>
      </c>
      <c r="U232" s="34" t="s">
        <v>383</v>
      </c>
      <c r="V232" s="35" t="s">
        <v>120</v>
      </c>
      <c r="W232" s="35" t="s">
        <v>29</v>
      </c>
      <c r="X232" s="34" t="s">
        <v>29</v>
      </c>
      <c r="Y232" s="77" t="e">
        <f>#REF!-H232</f>
        <v>#REF!</v>
      </c>
      <c r="Z232" s="78" t="e">
        <f>#REF!-J232</f>
        <v>#REF!</v>
      </c>
      <c r="AA232" s="79" t="e">
        <f>#REF!-L232</f>
        <v>#REF!</v>
      </c>
      <c r="AB232" s="78" t="e">
        <f>#REF!-N232</f>
        <v>#REF!</v>
      </c>
      <c r="AC232" s="77" t="e">
        <f>(#REF!+#REF!)-S232</f>
        <v>#REF!</v>
      </c>
      <c r="AD232" s="79" t="e">
        <f>AC232/(#REF!+#REF!)*100</f>
        <v>#REF!</v>
      </c>
      <c r="AG232" s="81"/>
      <c r="AH232" s="33" t="s">
        <v>34</v>
      </c>
    </row>
    <row r="233" spans="1:34" s="69" customFormat="1" x14ac:dyDescent="0.3">
      <c r="A233" s="75">
        <v>229</v>
      </c>
      <c r="B233" s="34" t="s">
        <v>26</v>
      </c>
      <c r="C233" s="34" t="s">
        <v>380</v>
      </c>
      <c r="D233" s="35" t="s">
        <v>122</v>
      </c>
      <c r="E233" s="35" t="s">
        <v>29</v>
      </c>
      <c r="F233" s="35" t="s">
        <v>30</v>
      </c>
      <c r="G233" s="115"/>
      <c r="H233" s="38">
        <f t="shared" si="12"/>
        <v>1849.3999999999999</v>
      </c>
      <c r="I233" s="116"/>
      <c r="J233" s="40">
        <f>1601.8-28.23+28.23</f>
        <v>1601.8</v>
      </c>
      <c r="K233" s="41">
        <f t="shared" si="15"/>
        <v>1601.8</v>
      </c>
      <c r="L233" s="42">
        <v>0</v>
      </c>
      <c r="M233" s="42"/>
      <c r="N233" s="40">
        <v>245.61</v>
      </c>
      <c r="O233" s="43">
        <f t="shared" si="16"/>
        <v>247.6</v>
      </c>
      <c r="P233" s="40">
        <v>208</v>
      </c>
      <c r="Q233" s="40">
        <v>39.6</v>
      </c>
      <c r="R233" s="40"/>
      <c r="S233" s="76">
        <f t="shared" si="14"/>
        <v>1601.8</v>
      </c>
      <c r="T233" s="35" t="s">
        <v>406</v>
      </c>
      <c r="U233" s="34" t="s">
        <v>383</v>
      </c>
      <c r="V233" s="35" t="s">
        <v>122</v>
      </c>
      <c r="W233" s="35" t="s">
        <v>29</v>
      </c>
      <c r="X233" s="34" t="s">
        <v>29</v>
      </c>
      <c r="Y233" s="77" t="e">
        <f>#REF!-H233</f>
        <v>#REF!</v>
      </c>
      <c r="Z233" s="78" t="e">
        <f>#REF!-J233</f>
        <v>#REF!</v>
      </c>
      <c r="AA233" s="79" t="e">
        <f>#REF!-L233</f>
        <v>#REF!</v>
      </c>
      <c r="AB233" s="78" t="e">
        <f>#REF!-N233</f>
        <v>#REF!</v>
      </c>
      <c r="AC233" s="77" t="e">
        <f>(#REF!+#REF!)-S233</f>
        <v>#REF!</v>
      </c>
      <c r="AD233" s="79" t="e">
        <f>AC233/(#REF!+#REF!)*100</f>
        <v>#REF!</v>
      </c>
      <c r="AG233" s="81"/>
      <c r="AH233" s="33" t="s">
        <v>34</v>
      </c>
    </row>
    <row r="234" spans="1:34" s="69" customFormat="1" x14ac:dyDescent="0.3">
      <c r="A234" s="75">
        <v>230</v>
      </c>
      <c r="B234" s="34" t="s">
        <v>26</v>
      </c>
      <c r="C234" s="34" t="s">
        <v>380</v>
      </c>
      <c r="D234" s="35" t="s">
        <v>124</v>
      </c>
      <c r="E234" s="35" t="s">
        <v>29</v>
      </c>
      <c r="F234" s="35" t="s">
        <v>30</v>
      </c>
      <c r="G234" s="115"/>
      <c r="H234" s="38">
        <f t="shared" si="12"/>
        <v>2880.6899999999996</v>
      </c>
      <c r="I234" s="116"/>
      <c r="J234" s="40">
        <v>2555.4899999999998</v>
      </c>
      <c r="K234" s="41">
        <f t="shared" si="15"/>
        <v>2555.4899999999998</v>
      </c>
      <c r="L234" s="42">
        <v>0</v>
      </c>
      <c r="M234" s="42"/>
      <c r="N234" s="40">
        <v>279</v>
      </c>
      <c r="O234" s="43">
        <f t="shared" si="16"/>
        <v>325.2</v>
      </c>
      <c r="P234" s="40">
        <v>279</v>
      </c>
      <c r="Q234" s="40">
        <v>46.2</v>
      </c>
      <c r="R234" s="40"/>
      <c r="S234" s="76">
        <f t="shared" si="14"/>
        <v>2555.4899999999998</v>
      </c>
      <c r="T234" s="35" t="s">
        <v>407</v>
      </c>
      <c r="U234" s="34" t="s">
        <v>383</v>
      </c>
      <c r="V234" s="35" t="s">
        <v>124</v>
      </c>
      <c r="W234" s="35" t="s">
        <v>29</v>
      </c>
      <c r="X234" s="34" t="s">
        <v>29</v>
      </c>
      <c r="Y234" s="77" t="e">
        <f>#REF!-H234</f>
        <v>#REF!</v>
      </c>
      <c r="Z234" s="78" t="e">
        <f>#REF!-J234</f>
        <v>#REF!</v>
      </c>
      <c r="AA234" s="79" t="e">
        <f>#REF!-L234</f>
        <v>#REF!</v>
      </c>
      <c r="AB234" s="78" t="e">
        <f>#REF!-N234</f>
        <v>#REF!</v>
      </c>
      <c r="AC234" s="77" t="e">
        <f>(#REF!+#REF!)-S234</f>
        <v>#REF!</v>
      </c>
      <c r="AD234" s="79" t="e">
        <f>AC234/(#REF!+#REF!)*100</f>
        <v>#REF!</v>
      </c>
      <c r="AG234" s="81"/>
      <c r="AH234" s="33" t="s">
        <v>34</v>
      </c>
    </row>
    <row r="235" spans="1:34" s="69" customFormat="1" x14ac:dyDescent="0.3">
      <c r="A235" s="75">
        <v>231</v>
      </c>
      <c r="B235" s="34" t="s">
        <v>26</v>
      </c>
      <c r="C235" s="34" t="s">
        <v>380</v>
      </c>
      <c r="D235" s="35" t="s">
        <v>130</v>
      </c>
      <c r="E235" s="35" t="s">
        <v>29</v>
      </c>
      <c r="F235" s="35" t="s">
        <v>30</v>
      </c>
      <c r="G235" s="115"/>
      <c r="H235" s="38">
        <f t="shared" si="12"/>
        <v>6626.92</v>
      </c>
      <c r="I235" s="116"/>
      <c r="J235" s="40">
        <v>5494.22</v>
      </c>
      <c r="K235" s="41">
        <f t="shared" si="15"/>
        <v>5494.22</v>
      </c>
      <c r="L235" s="42">
        <v>236.2</v>
      </c>
      <c r="M235" s="42"/>
      <c r="N235" s="40">
        <v>734</v>
      </c>
      <c r="O235" s="43">
        <f t="shared" si="16"/>
        <v>896.5</v>
      </c>
      <c r="P235" s="40">
        <v>734</v>
      </c>
      <c r="Q235" s="40">
        <v>162.5</v>
      </c>
      <c r="R235" s="40"/>
      <c r="S235" s="76">
        <f t="shared" si="14"/>
        <v>5730.42</v>
      </c>
      <c r="T235" s="35" t="s">
        <v>408</v>
      </c>
      <c r="U235" s="34" t="s">
        <v>383</v>
      </c>
      <c r="V235" s="35" t="s">
        <v>130</v>
      </c>
      <c r="W235" s="35" t="s">
        <v>29</v>
      </c>
      <c r="X235" s="34" t="s">
        <v>29</v>
      </c>
      <c r="Y235" s="77" t="e">
        <f>#REF!-H235</f>
        <v>#REF!</v>
      </c>
      <c r="Z235" s="78" t="e">
        <f>#REF!-J235</f>
        <v>#REF!</v>
      </c>
      <c r="AA235" s="79" t="e">
        <f>#REF!-L235</f>
        <v>#REF!</v>
      </c>
      <c r="AB235" s="78" t="e">
        <f>#REF!-N235</f>
        <v>#REF!</v>
      </c>
      <c r="AC235" s="77" t="e">
        <f>(#REF!+#REF!)-S235</f>
        <v>#REF!</v>
      </c>
      <c r="AD235" s="79" t="e">
        <f>AC235/(#REF!+#REF!)*100</f>
        <v>#REF!</v>
      </c>
      <c r="AG235" s="81"/>
      <c r="AH235" s="33" t="s">
        <v>34</v>
      </c>
    </row>
    <row r="236" spans="1:34" s="69" customFormat="1" x14ac:dyDescent="0.3">
      <c r="A236" s="101">
        <v>232</v>
      </c>
      <c r="B236" s="34" t="s">
        <v>26</v>
      </c>
      <c r="C236" s="34" t="s">
        <v>380</v>
      </c>
      <c r="D236" s="35" t="s">
        <v>132</v>
      </c>
      <c r="E236" s="35" t="s">
        <v>29</v>
      </c>
      <c r="F236" s="35" t="s">
        <v>30</v>
      </c>
      <c r="G236" s="115"/>
      <c r="H236" s="38">
        <f t="shared" si="12"/>
        <v>2901.61</v>
      </c>
      <c r="I236" s="116"/>
      <c r="J236" s="40">
        <v>2561.5100000000002</v>
      </c>
      <c r="K236" s="41">
        <f t="shared" si="15"/>
        <v>2561.5100000000002</v>
      </c>
      <c r="L236" s="42">
        <v>0</v>
      </c>
      <c r="M236" s="42"/>
      <c r="N236" s="40">
        <v>340.05</v>
      </c>
      <c r="O236" s="43">
        <f t="shared" si="16"/>
        <v>340.1</v>
      </c>
      <c r="P236" s="40">
        <v>270</v>
      </c>
      <c r="Q236" s="40">
        <v>70.099999999999994</v>
      </c>
      <c r="R236" s="40"/>
      <c r="S236" s="76">
        <f t="shared" si="14"/>
        <v>2561.5100000000002</v>
      </c>
      <c r="T236" s="35" t="s">
        <v>409</v>
      </c>
      <c r="U236" s="34" t="s">
        <v>383</v>
      </c>
      <c r="V236" s="35" t="s">
        <v>132</v>
      </c>
      <c r="W236" s="35" t="s">
        <v>29</v>
      </c>
      <c r="X236" s="34" t="s">
        <v>29</v>
      </c>
      <c r="Y236" s="77" t="e">
        <f>#REF!-H236</f>
        <v>#REF!</v>
      </c>
      <c r="Z236" s="78" t="e">
        <f>#REF!-J236</f>
        <v>#REF!</v>
      </c>
      <c r="AA236" s="79" t="e">
        <f>#REF!-L236</f>
        <v>#REF!</v>
      </c>
      <c r="AB236" s="78" t="e">
        <f>#REF!-N236</f>
        <v>#REF!</v>
      </c>
      <c r="AC236" s="77" t="e">
        <f>(#REF!+#REF!)-S236</f>
        <v>#REF!</v>
      </c>
      <c r="AD236" s="79" t="e">
        <f>AC236/(#REF!+#REF!)*100</f>
        <v>#REF!</v>
      </c>
      <c r="AG236" s="81"/>
      <c r="AH236" s="33" t="s">
        <v>34</v>
      </c>
    </row>
    <row r="237" spans="1:34" s="69" customFormat="1" x14ac:dyDescent="0.3">
      <c r="A237" s="75">
        <v>233</v>
      </c>
      <c r="B237" s="34" t="s">
        <v>26</v>
      </c>
      <c r="C237" s="34" t="s">
        <v>410</v>
      </c>
      <c r="D237" s="35" t="s">
        <v>161</v>
      </c>
      <c r="E237" s="35" t="s">
        <v>29</v>
      </c>
      <c r="F237" s="35" t="s">
        <v>43</v>
      </c>
      <c r="G237" s="115" t="s">
        <v>31</v>
      </c>
      <c r="H237" s="38">
        <f t="shared" si="12"/>
        <v>6729.67</v>
      </c>
      <c r="I237" s="116"/>
      <c r="J237" s="40">
        <v>5141.57</v>
      </c>
      <c r="K237" s="41">
        <f t="shared" si="15"/>
        <v>5141.57</v>
      </c>
      <c r="L237" s="42">
        <v>407.7</v>
      </c>
      <c r="M237" s="42"/>
      <c r="N237" s="40">
        <v>1180.4000000000001</v>
      </c>
      <c r="O237" s="43">
        <f t="shared" si="16"/>
        <v>1180.4000000000001</v>
      </c>
      <c r="P237" s="40">
        <v>1155</v>
      </c>
      <c r="Q237" s="40">
        <v>25.4</v>
      </c>
      <c r="R237" s="40"/>
      <c r="S237" s="76">
        <f t="shared" si="14"/>
        <v>5549.2699999999995</v>
      </c>
      <c r="T237" s="35" t="s">
        <v>411</v>
      </c>
      <c r="U237" s="34" t="s">
        <v>412</v>
      </c>
      <c r="V237" s="35" t="s">
        <v>161</v>
      </c>
      <c r="W237" s="35" t="s">
        <v>29</v>
      </c>
      <c r="X237" s="34" t="s">
        <v>29</v>
      </c>
      <c r="Y237" s="77" t="e">
        <f>#REF!-H237</f>
        <v>#REF!</v>
      </c>
      <c r="Z237" s="78" t="e">
        <f>#REF!-J237</f>
        <v>#REF!</v>
      </c>
      <c r="AA237" s="79" t="e">
        <f>#REF!-L237</f>
        <v>#REF!</v>
      </c>
      <c r="AB237" s="78" t="e">
        <f>#REF!-N237</f>
        <v>#REF!</v>
      </c>
      <c r="AC237" s="77" t="e">
        <f>(#REF!+#REF!)-S237</f>
        <v>#REF!</v>
      </c>
      <c r="AD237" s="79" t="e">
        <f>AC237/(#REF!+#REF!)*100</f>
        <v>#REF!</v>
      </c>
      <c r="AG237" s="81"/>
      <c r="AH237" s="33" t="s">
        <v>34</v>
      </c>
    </row>
    <row r="238" spans="1:34" s="69" customFormat="1" x14ac:dyDescent="0.3">
      <c r="A238" s="75">
        <v>234</v>
      </c>
      <c r="B238" s="121" t="s">
        <v>413</v>
      </c>
      <c r="C238" s="121" t="s">
        <v>414</v>
      </c>
      <c r="D238" s="122" t="s">
        <v>198</v>
      </c>
      <c r="E238" s="122" t="s">
        <v>29</v>
      </c>
      <c r="F238" s="122" t="s">
        <v>30</v>
      </c>
      <c r="G238" s="123" t="s">
        <v>31</v>
      </c>
      <c r="H238" s="124">
        <f t="shared" si="12"/>
        <v>5182.3900000000003</v>
      </c>
      <c r="I238" s="125"/>
      <c r="J238" s="126">
        <f>4627.06+16.33</f>
        <v>4643.3900000000003</v>
      </c>
      <c r="K238" s="127">
        <f t="shared" si="15"/>
        <v>4643.3900000000003</v>
      </c>
      <c r="L238" s="128">
        <v>0</v>
      </c>
      <c r="M238" s="128"/>
      <c r="N238" s="126">
        <v>692.3</v>
      </c>
      <c r="O238" s="129">
        <f t="shared" si="16"/>
        <v>539</v>
      </c>
      <c r="P238" s="126">
        <v>539</v>
      </c>
      <c r="Q238" s="126">
        <v>0</v>
      </c>
      <c r="R238" s="126"/>
      <c r="S238" s="130">
        <f t="shared" si="14"/>
        <v>4643.3900000000003</v>
      </c>
      <c r="T238" s="122" t="s">
        <v>415</v>
      </c>
      <c r="U238" s="121" t="s">
        <v>416</v>
      </c>
      <c r="V238" s="122" t="s">
        <v>198</v>
      </c>
      <c r="W238" s="122" t="s">
        <v>29</v>
      </c>
      <c r="X238" s="121" t="s">
        <v>29</v>
      </c>
      <c r="Y238" s="131" t="e">
        <f>#REF!-H238</f>
        <v>#REF!</v>
      </c>
      <c r="Z238" s="132" t="e">
        <f>#REF!-J238</f>
        <v>#REF!</v>
      </c>
      <c r="AA238" s="133" t="e">
        <f>#REF!-L238</f>
        <v>#REF!</v>
      </c>
      <c r="AB238" s="132" t="e">
        <f>#REF!-N238</f>
        <v>#REF!</v>
      </c>
      <c r="AC238" s="131" t="e">
        <f>(#REF!+#REF!)-S238</f>
        <v>#REF!</v>
      </c>
      <c r="AD238" s="133" t="e">
        <f>AC238/(#REF!+#REF!)*100</f>
        <v>#REF!</v>
      </c>
      <c r="AE238" s="134"/>
      <c r="AF238" s="134"/>
      <c r="AG238" s="135"/>
      <c r="AH238" s="68" t="s">
        <v>39</v>
      </c>
    </row>
    <row r="239" spans="1:34" s="69" customFormat="1" x14ac:dyDescent="0.3">
      <c r="A239" s="101">
        <v>235</v>
      </c>
      <c r="B239" s="34" t="s">
        <v>26</v>
      </c>
      <c r="C239" s="34" t="s">
        <v>417</v>
      </c>
      <c r="D239" s="35" t="s">
        <v>418</v>
      </c>
      <c r="E239" s="35" t="s">
        <v>419</v>
      </c>
      <c r="F239" s="35" t="s">
        <v>30</v>
      </c>
      <c r="G239" s="115" t="s">
        <v>31</v>
      </c>
      <c r="H239" s="38">
        <f t="shared" si="12"/>
        <v>4536.83</v>
      </c>
      <c r="I239" s="116"/>
      <c r="J239" s="40">
        <v>3036.63</v>
      </c>
      <c r="K239" s="41">
        <f t="shared" si="15"/>
        <v>3036.63</v>
      </c>
      <c r="L239" s="42">
        <f>827.2+217.2</f>
        <v>1044.4000000000001</v>
      </c>
      <c r="M239" s="42"/>
      <c r="N239" s="40">
        <v>483.77</v>
      </c>
      <c r="O239" s="43">
        <f t="shared" si="16"/>
        <v>455.8</v>
      </c>
      <c r="P239" s="40">
        <v>407</v>
      </c>
      <c r="Q239" s="40">
        <v>12.2</v>
      </c>
      <c r="R239" s="40">
        <v>36.6</v>
      </c>
      <c r="S239" s="76">
        <f t="shared" si="14"/>
        <v>4081.03</v>
      </c>
      <c r="T239" s="35" t="s">
        <v>420</v>
      </c>
      <c r="U239" s="34" t="s">
        <v>421</v>
      </c>
      <c r="V239" s="35" t="s">
        <v>418</v>
      </c>
      <c r="W239" s="35" t="s">
        <v>29</v>
      </c>
      <c r="X239" s="34" t="s">
        <v>29</v>
      </c>
      <c r="Y239" s="77" t="e">
        <f>#REF!-H239</f>
        <v>#REF!</v>
      </c>
      <c r="Z239" s="78" t="e">
        <f>#REF!-J239</f>
        <v>#REF!</v>
      </c>
      <c r="AA239" s="79" t="e">
        <f>#REF!-L239</f>
        <v>#REF!</v>
      </c>
      <c r="AB239" s="78" t="e">
        <f>#REF!-N239</f>
        <v>#REF!</v>
      </c>
      <c r="AC239" s="77" t="e">
        <f>(#REF!+#REF!)-S239</f>
        <v>#REF!</v>
      </c>
      <c r="AD239" s="79" t="e">
        <f>AC239/(#REF!+#REF!)*100</f>
        <v>#REF!</v>
      </c>
      <c r="AG239" s="81"/>
      <c r="AH239" s="33" t="s">
        <v>34</v>
      </c>
    </row>
    <row r="240" spans="1:34" s="69" customFormat="1" x14ac:dyDescent="0.3">
      <c r="A240" s="75">
        <v>236</v>
      </c>
      <c r="B240" s="34" t="s">
        <v>422</v>
      </c>
      <c r="C240" s="34" t="s">
        <v>423</v>
      </c>
      <c r="D240" s="35" t="s">
        <v>92</v>
      </c>
      <c r="E240" s="35" t="s">
        <v>29</v>
      </c>
      <c r="F240" s="35" t="s">
        <v>30</v>
      </c>
      <c r="G240" s="115"/>
      <c r="H240" s="38">
        <f t="shared" si="12"/>
        <v>1821.45</v>
      </c>
      <c r="I240" s="116">
        <v>0</v>
      </c>
      <c r="J240" s="40">
        <f>1540.96-18.02+18.02</f>
        <v>1540.96</v>
      </c>
      <c r="K240" s="41">
        <f t="shared" si="15"/>
        <v>1540.96</v>
      </c>
      <c r="L240" s="42">
        <v>64.5</v>
      </c>
      <c r="M240" s="42"/>
      <c r="N240" s="40">
        <v>215.99</v>
      </c>
      <c r="O240" s="43">
        <f t="shared" si="16"/>
        <v>215.99</v>
      </c>
      <c r="P240" s="40">
        <f>290*AE240</f>
        <v>215.99</v>
      </c>
      <c r="Q240" s="40"/>
      <c r="R240" s="40"/>
      <c r="S240" s="76">
        <f t="shared" si="14"/>
        <v>1605.46</v>
      </c>
      <c r="T240" s="35" t="s">
        <v>424</v>
      </c>
      <c r="U240" s="34" t="s">
        <v>425</v>
      </c>
      <c r="V240" s="35" t="s">
        <v>92</v>
      </c>
      <c r="W240" s="35" t="s">
        <v>29</v>
      </c>
      <c r="X240" s="34" t="s">
        <v>29</v>
      </c>
      <c r="Y240" s="77" t="e">
        <f>#REF!-H240</f>
        <v>#REF!</v>
      </c>
      <c r="Z240" s="78" t="e">
        <f>#REF!-J240</f>
        <v>#REF!</v>
      </c>
      <c r="AA240" s="79" t="e">
        <f>#REF!-L240</f>
        <v>#REF!</v>
      </c>
      <c r="AB240" s="78" t="e">
        <f>#REF!-N240</f>
        <v>#REF!</v>
      </c>
      <c r="AC240" s="77" t="e">
        <f>(#REF!+#REF!)-S240</f>
        <v>#REF!</v>
      </c>
      <c r="AD240" s="79" t="e">
        <f>AC240/(#REF!+#REF!)*100</f>
        <v>#REF!</v>
      </c>
      <c r="AE240" s="69">
        <f>N240/290</f>
        <v>0.74479310344827587</v>
      </c>
      <c r="AF240" s="69">
        <v>290</v>
      </c>
      <c r="AG240" s="81"/>
      <c r="AH240" s="33" t="s">
        <v>34</v>
      </c>
    </row>
    <row r="241" spans="1:34" s="69" customFormat="1" x14ac:dyDescent="0.3">
      <c r="A241" s="75">
        <v>237</v>
      </c>
      <c r="B241" s="34" t="s">
        <v>422</v>
      </c>
      <c r="C241" s="34" t="s">
        <v>423</v>
      </c>
      <c r="D241" s="35" t="s">
        <v>92</v>
      </c>
      <c r="E241" s="35" t="s">
        <v>29</v>
      </c>
      <c r="F241" s="35" t="s">
        <v>30</v>
      </c>
      <c r="G241" s="115"/>
      <c r="H241" s="38">
        <f t="shared" si="12"/>
        <v>694.03</v>
      </c>
      <c r="I241" s="116"/>
      <c r="J241" s="40">
        <v>528.12</v>
      </c>
      <c r="K241" s="41">
        <f t="shared" si="15"/>
        <v>528.12</v>
      </c>
      <c r="L241" s="42">
        <v>91.9</v>
      </c>
      <c r="M241" s="42"/>
      <c r="N241" s="40">
        <v>74.010000000000005</v>
      </c>
      <c r="O241" s="43">
        <f t="shared" si="16"/>
        <v>74.010000000000019</v>
      </c>
      <c r="P241" s="40">
        <f>290*AE241</f>
        <v>74.010000000000019</v>
      </c>
      <c r="Q241" s="40"/>
      <c r="R241" s="40"/>
      <c r="S241" s="76">
        <f t="shared" si="14"/>
        <v>620.02</v>
      </c>
      <c r="T241" s="35" t="s">
        <v>426</v>
      </c>
      <c r="U241" s="34" t="s">
        <v>425</v>
      </c>
      <c r="V241" s="35" t="s">
        <v>427</v>
      </c>
      <c r="W241" s="35" t="s">
        <v>170</v>
      </c>
      <c r="X241" s="34" t="s">
        <v>29</v>
      </c>
      <c r="Y241" s="77" t="e">
        <f>#REF!-H241</f>
        <v>#REF!</v>
      </c>
      <c r="Z241" s="78" t="e">
        <f>#REF!-J241</f>
        <v>#REF!</v>
      </c>
      <c r="AA241" s="79" t="e">
        <f>#REF!-L241</f>
        <v>#REF!</v>
      </c>
      <c r="AB241" s="78" t="e">
        <f>#REF!-N241</f>
        <v>#REF!</v>
      </c>
      <c r="AC241" s="77" t="e">
        <f>(#REF!+#REF!)-S241</f>
        <v>#REF!</v>
      </c>
      <c r="AD241" s="79" t="e">
        <f>AC241/(#REF!+#REF!)*100</f>
        <v>#REF!</v>
      </c>
      <c r="AE241" s="69">
        <f>N241/290</f>
        <v>0.25520689655172418</v>
      </c>
      <c r="AG241" s="81"/>
      <c r="AH241" s="33" t="s">
        <v>34</v>
      </c>
    </row>
    <row r="242" spans="1:34" s="69" customFormat="1" x14ac:dyDescent="0.3">
      <c r="A242" s="101">
        <v>238</v>
      </c>
      <c r="B242" s="34" t="s">
        <v>422</v>
      </c>
      <c r="C242" s="34" t="s">
        <v>428</v>
      </c>
      <c r="D242" s="35" t="s">
        <v>80</v>
      </c>
      <c r="E242" s="35" t="s">
        <v>29</v>
      </c>
      <c r="F242" s="35" t="s">
        <v>30</v>
      </c>
      <c r="G242" s="115"/>
      <c r="H242" s="38">
        <f t="shared" si="12"/>
        <v>1494.7600000000002</v>
      </c>
      <c r="I242" s="116"/>
      <c r="J242" s="40">
        <v>939.96</v>
      </c>
      <c r="K242" s="41">
        <f t="shared" si="15"/>
        <v>939.96</v>
      </c>
      <c r="L242" s="42">
        <v>371.4</v>
      </c>
      <c r="M242" s="42"/>
      <c r="N242" s="40">
        <v>167</v>
      </c>
      <c r="O242" s="43">
        <f t="shared" si="16"/>
        <v>183.4</v>
      </c>
      <c r="P242" s="40">
        <v>183.4</v>
      </c>
      <c r="Q242" s="40"/>
      <c r="R242" s="40"/>
      <c r="S242" s="76">
        <f t="shared" si="14"/>
        <v>1311.3600000000001</v>
      </c>
      <c r="T242" s="35" t="s">
        <v>429</v>
      </c>
      <c r="U242" s="34" t="s">
        <v>430</v>
      </c>
      <c r="V242" s="35" t="s">
        <v>80</v>
      </c>
      <c r="W242" s="35" t="s">
        <v>29</v>
      </c>
      <c r="X242" s="34" t="s">
        <v>29</v>
      </c>
      <c r="Y242" s="77" t="e">
        <f>#REF!-H242</f>
        <v>#REF!</v>
      </c>
      <c r="Z242" s="78" t="e">
        <f>#REF!-J242</f>
        <v>#REF!</v>
      </c>
      <c r="AA242" s="79" t="e">
        <f>#REF!-L242</f>
        <v>#REF!</v>
      </c>
      <c r="AB242" s="78" t="e">
        <f>#REF!-N242</f>
        <v>#REF!</v>
      </c>
      <c r="AC242" s="77" t="e">
        <f>(#REF!+#REF!)-S242</f>
        <v>#REF!</v>
      </c>
      <c r="AD242" s="79" t="e">
        <f>AC242/(#REF!+#REF!)*100</f>
        <v>#REF!</v>
      </c>
      <c r="AG242" s="81"/>
      <c r="AH242" s="33" t="s">
        <v>34</v>
      </c>
    </row>
    <row r="243" spans="1:34" s="69" customFormat="1" x14ac:dyDescent="0.3">
      <c r="A243" s="75">
        <v>239</v>
      </c>
      <c r="B243" s="34" t="s">
        <v>26</v>
      </c>
      <c r="C243" s="34" t="s">
        <v>428</v>
      </c>
      <c r="D243" s="35" t="s">
        <v>195</v>
      </c>
      <c r="E243" s="35" t="s">
        <v>29</v>
      </c>
      <c r="F243" s="35" t="s">
        <v>30</v>
      </c>
      <c r="G243" s="115" t="s">
        <v>31</v>
      </c>
      <c r="H243" s="38">
        <f t="shared" si="12"/>
        <v>7059.68</v>
      </c>
      <c r="I243" s="116">
        <v>0</v>
      </c>
      <c r="J243" s="40">
        <f>5543.77+0.02-0.01</f>
        <v>5543.7800000000007</v>
      </c>
      <c r="K243" s="41">
        <f t="shared" si="15"/>
        <v>5543.7800000000007</v>
      </c>
      <c r="L243" s="42">
        <v>317.39999999999998</v>
      </c>
      <c r="M243" s="42"/>
      <c r="N243" s="42">
        <v>1411.8</v>
      </c>
      <c r="O243" s="43">
        <f t="shared" si="16"/>
        <v>1198.5</v>
      </c>
      <c r="P243" s="42">
        <v>951.7</v>
      </c>
      <c r="Q243" s="42">
        <v>13</v>
      </c>
      <c r="R243" s="42">
        <v>233.8</v>
      </c>
      <c r="S243" s="76">
        <f t="shared" si="14"/>
        <v>5861.18</v>
      </c>
      <c r="T243" s="35" t="s">
        <v>431</v>
      </c>
      <c r="U243" s="34" t="s">
        <v>430</v>
      </c>
      <c r="V243" s="35" t="s">
        <v>195</v>
      </c>
      <c r="W243" s="35" t="s">
        <v>29</v>
      </c>
      <c r="X243" s="34" t="s">
        <v>29</v>
      </c>
      <c r="Y243" s="77" t="e">
        <f>#REF!-H243</f>
        <v>#REF!</v>
      </c>
      <c r="Z243" s="78" t="e">
        <f>#REF!-J243</f>
        <v>#REF!</v>
      </c>
      <c r="AA243" s="79" t="e">
        <f>#REF!-L243</f>
        <v>#REF!</v>
      </c>
      <c r="AB243" s="78" t="e">
        <f>#REF!-N243</f>
        <v>#REF!</v>
      </c>
      <c r="AC243" s="77" t="e">
        <f>(#REF!+#REF!)-S243</f>
        <v>#REF!</v>
      </c>
      <c r="AD243" s="79" t="e">
        <f>AC243/(#REF!+#REF!)*100</f>
        <v>#REF!</v>
      </c>
      <c r="AG243" s="81"/>
      <c r="AH243" s="33" t="s">
        <v>34</v>
      </c>
    </row>
    <row r="244" spans="1:34" s="69" customFormat="1" x14ac:dyDescent="0.3">
      <c r="A244" s="75">
        <v>240</v>
      </c>
      <c r="B244" s="34" t="s">
        <v>422</v>
      </c>
      <c r="C244" s="34" t="s">
        <v>428</v>
      </c>
      <c r="D244" s="35" t="s">
        <v>195</v>
      </c>
      <c r="E244" s="35" t="s">
        <v>29</v>
      </c>
      <c r="F244" s="35" t="s">
        <v>43</v>
      </c>
      <c r="G244" s="115"/>
      <c r="H244" s="38">
        <f t="shared" si="12"/>
        <v>2339.9300000000003</v>
      </c>
      <c r="I244" s="116"/>
      <c r="J244" s="40">
        <v>1923.53</v>
      </c>
      <c r="K244" s="41">
        <f t="shared" si="15"/>
        <v>1923.53</v>
      </c>
      <c r="L244" s="42">
        <v>72.400000000000006</v>
      </c>
      <c r="M244" s="42"/>
      <c r="N244" s="42">
        <v>344</v>
      </c>
      <c r="O244" s="43">
        <f t="shared" si="16"/>
        <v>344</v>
      </c>
      <c r="P244" s="42">
        <v>344</v>
      </c>
      <c r="Q244" s="42"/>
      <c r="R244" s="42"/>
      <c r="S244" s="76">
        <f t="shared" si="14"/>
        <v>1995.93</v>
      </c>
      <c r="T244" s="35" t="s">
        <v>432</v>
      </c>
      <c r="U244" s="34" t="s">
        <v>430</v>
      </c>
      <c r="V244" s="35" t="s">
        <v>195</v>
      </c>
      <c r="W244" s="35" t="s">
        <v>29</v>
      </c>
      <c r="X244" s="34" t="s">
        <v>29</v>
      </c>
      <c r="Y244" s="77" t="e">
        <f>#REF!-H244</f>
        <v>#REF!</v>
      </c>
      <c r="Z244" s="78" t="e">
        <f>#REF!-J244</f>
        <v>#REF!</v>
      </c>
      <c r="AA244" s="79" t="e">
        <f>#REF!-L244</f>
        <v>#REF!</v>
      </c>
      <c r="AB244" s="78" t="e">
        <f>#REF!-N244</f>
        <v>#REF!</v>
      </c>
      <c r="AC244" s="77" t="e">
        <f>(#REF!+#REF!)-S244</f>
        <v>#REF!</v>
      </c>
      <c r="AD244" s="79" t="e">
        <f>AC244/(#REF!+#REF!)*100</f>
        <v>#REF!</v>
      </c>
      <c r="AG244" s="81"/>
      <c r="AH244" s="33" t="s">
        <v>34</v>
      </c>
    </row>
    <row r="245" spans="1:34" s="69" customFormat="1" x14ac:dyDescent="0.3">
      <c r="A245" s="75">
        <v>241</v>
      </c>
      <c r="B245" s="34" t="s">
        <v>26</v>
      </c>
      <c r="C245" s="34" t="s">
        <v>433</v>
      </c>
      <c r="D245" s="35" t="s">
        <v>354</v>
      </c>
      <c r="E245" s="35" t="s">
        <v>29</v>
      </c>
      <c r="F245" s="35" t="s">
        <v>30</v>
      </c>
      <c r="G245" s="115"/>
      <c r="H245" s="105">
        <f t="shared" si="12"/>
        <v>4206.5</v>
      </c>
      <c r="I245" s="116">
        <v>29.43</v>
      </c>
      <c r="J245" s="40">
        <v>3501.77</v>
      </c>
      <c r="K245" s="41">
        <f t="shared" si="15"/>
        <v>3531.2</v>
      </c>
      <c r="L245" s="106">
        <f>81.9+67.7+36.3</f>
        <v>185.90000000000003</v>
      </c>
      <c r="M245" s="106">
        <f>67.7+36.3</f>
        <v>104</v>
      </c>
      <c r="N245" s="40">
        <v>481.02</v>
      </c>
      <c r="O245" s="43">
        <f t="shared" si="16"/>
        <v>489.4</v>
      </c>
      <c r="P245" s="40">
        <v>377</v>
      </c>
      <c r="Q245" s="40">
        <v>9</v>
      </c>
      <c r="R245" s="40">
        <v>103.4</v>
      </c>
      <c r="S245" s="76">
        <f t="shared" si="14"/>
        <v>3717.1</v>
      </c>
      <c r="T245" s="35" t="s">
        <v>434</v>
      </c>
      <c r="U245" s="34" t="s">
        <v>435</v>
      </c>
      <c r="V245" s="35" t="s">
        <v>354</v>
      </c>
      <c r="W245" s="35" t="s">
        <v>29</v>
      </c>
      <c r="X245" s="34" t="s">
        <v>29</v>
      </c>
      <c r="Y245" s="77" t="e">
        <f>#REF!-H245</f>
        <v>#REF!</v>
      </c>
      <c r="Z245" s="78" t="e">
        <f>#REF!-J245</f>
        <v>#REF!</v>
      </c>
      <c r="AA245" s="79" t="e">
        <f>#REF!-L245</f>
        <v>#REF!</v>
      </c>
      <c r="AB245" s="78" t="e">
        <f>#REF!-N245</f>
        <v>#REF!</v>
      </c>
      <c r="AC245" s="77" t="e">
        <f>(#REF!+#REF!)-S245</f>
        <v>#REF!</v>
      </c>
      <c r="AD245" s="79" t="e">
        <f>AC245/(#REF!+#REF!)*100</f>
        <v>#REF!</v>
      </c>
      <c r="AG245" s="81"/>
      <c r="AH245" s="33" t="s">
        <v>34</v>
      </c>
    </row>
    <row r="246" spans="1:34" s="69" customFormat="1" x14ac:dyDescent="0.3">
      <c r="A246" s="101">
        <v>242</v>
      </c>
      <c r="B246" s="34" t="s">
        <v>26</v>
      </c>
      <c r="C246" s="137" t="s">
        <v>428</v>
      </c>
      <c r="D246" s="138" t="s">
        <v>105</v>
      </c>
      <c r="E246" s="138" t="s">
        <v>29</v>
      </c>
      <c r="F246" s="138" t="s">
        <v>30</v>
      </c>
      <c r="G246" s="139" t="s">
        <v>31</v>
      </c>
      <c r="H246" s="140">
        <f t="shared" si="12"/>
        <v>845.61</v>
      </c>
      <c r="I246" s="141"/>
      <c r="J246" s="142">
        <v>685.71</v>
      </c>
      <c r="K246" s="41">
        <f t="shared" si="15"/>
        <v>685.71</v>
      </c>
      <c r="L246" s="143">
        <v>84.9</v>
      </c>
      <c r="M246" s="143"/>
      <c r="N246" s="142">
        <v>74.540000000000006</v>
      </c>
      <c r="O246" s="144">
        <f t="shared" si="16"/>
        <v>75</v>
      </c>
      <c r="P246" s="142">
        <v>75</v>
      </c>
      <c r="Q246" s="142">
        <v>0</v>
      </c>
      <c r="R246" s="142"/>
      <c r="S246" s="145">
        <f t="shared" si="14"/>
        <v>770.61</v>
      </c>
      <c r="T246" s="35" t="s">
        <v>436</v>
      </c>
      <c r="U246" s="146"/>
      <c r="V246" s="147"/>
      <c r="W246" s="147"/>
      <c r="X246" s="146"/>
      <c r="Y246" s="146"/>
      <c r="Z246" s="146"/>
      <c r="AA246" s="146"/>
      <c r="AB246" s="146"/>
      <c r="AC246" s="146"/>
      <c r="AD246" s="148"/>
      <c r="AG246" s="81"/>
      <c r="AH246" s="33" t="s">
        <v>34</v>
      </c>
    </row>
    <row r="247" spans="1:34" s="69" customFormat="1" x14ac:dyDescent="0.3">
      <c r="A247" s="75">
        <v>243</v>
      </c>
      <c r="B247" s="34" t="s">
        <v>26</v>
      </c>
      <c r="C247" s="34" t="s">
        <v>437</v>
      </c>
      <c r="D247" s="35" t="s">
        <v>109</v>
      </c>
      <c r="E247" s="35"/>
      <c r="F247" s="35" t="s">
        <v>30</v>
      </c>
      <c r="G247" s="149"/>
      <c r="H247" s="150">
        <f t="shared" si="12"/>
        <v>1493</v>
      </c>
      <c r="I247" s="151"/>
      <c r="J247" s="40">
        <v>1187.4000000000001</v>
      </c>
      <c r="K247" s="41">
        <f t="shared" si="15"/>
        <v>1187.4000000000001</v>
      </c>
      <c r="L247" s="42">
        <v>132.6</v>
      </c>
      <c r="M247" s="42"/>
      <c r="N247" s="40"/>
      <c r="O247" s="41">
        <f t="shared" si="16"/>
        <v>173</v>
      </c>
      <c r="P247" s="40">
        <v>173</v>
      </c>
      <c r="Q247" s="40"/>
      <c r="R247" s="40"/>
      <c r="S247" s="76">
        <f t="shared" si="14"/>
        <v>1320</v>
      </c>
      <c r="T247" s="35" t="s">
        <v>438</v>
      </c>
      <c r="V247" s="152"/>
      <c r="W247" s="152"/>
      <c r="Y247" s="153"/>
      <c r="AD247" s="154"/>
      <c r="AG247" s="81"/>
      <c r="AH247" s="33" t="s">
        <v>34</v>
      </c>
    </row>
    <row r="248" spans="1:34" s="165" customFormat="1" ht="24" x14ac:dyDescent="0.3">
      <c r="A248" s="75">
        <v>244</v>
      </c>
      <c r="B248" s="82" t="s">
        <v>439</v>
      </c>
      <c r="C248" s="155" t="s">
        <v>440</v>
      </c>
      <c r="D248" s="156" t="s">
        <v>124</v>
      </c>
      <c r="E248" s="156"/>
      <c r="F248" s="156" t="s">
        <v>30</v>
      </c>
      <c r="G248" s="157"/>
      <c r="H248" s="92">
        <f t="shared" si="12"/>
        <v>5509.42</v>
      </c>
      <c r="I248" s="158"/>
      <c r="J248" s="104">
        <v>4012.82</v>
      </c>
      <c r="K248" s="89">
        <f t="shared" si="15"/>
        <v>4012.82</v>
      </c>
      <c r="L248" s="103">
        <v>736.4</v>
      </c>
      <c r="M248" s="103">
        <v>79.900000000000006</v>
      </c>
      <c r="N248" s="104"/>
      <c r="O248" s="119">
        <f t="shared" si="16"/>
        <v>760.2</v>
      </c>
      <c r="P248" s="104">
        <v>591</v>
      </c>
      <c r="Q248" s="104">
        <v>24</v>
      </c>
      <c r="R248" s="104">
        <v>145.19999999999999</v>
      </c>
      <c r="S248" s="92">
        <f t="shared" si="14"/>
        <v>4749.22</v>
      </c>
      <c r="T248" s="159" t="s">
        <v>57</v>
      </c>
      <c r="U248" s="160"/>
      <c r="V248" s="161"/>
      <c r="W248" s="161"/>
      <c r="X248" s="160"/>
      <c r="Y248" s="162"/>
      <c r="Z248" s="160"/>
      <c r="AA248" s="160"/>
      <c r="AB248" s="160"/>
      <c r="AC248" s="160"/>
      <c r="AD248" s="163"/>
      <c r="AE248" s="160"/>
      <c r="AF248" s="160"/>
      <c r="AG248" s="160"/>
      <c r="AH248" s="164" t="s">
        <v>441</v>
      </c>
    </row>
    <row r="249" spans="1:34" s="165" customFormat="1" ht="24" x14ac:dyDescent="0.3">
      <c r="A249" s="101">
        <v>245</v>
      </c>
      <c r="B249" s="82" t="s">
        <v>442</v>
      </c>
      <c r="C249" s="155" t="s">
        <v>417</v>
      </c>
      <c r="D249" s="156" t="s">
        <v>443</v>
      </c>
      <c r="E249" s="156"/>
      <c r="F249" s="156" t="s">
        <v>56</v>
      </c>
      <c r="G249" s="157" t="s">
        <v>31</v>
      </c>
      <c r="H249" s="92">
        <f t="shared" si="12"/>
        <v>5861.9000000000005</v>
      </c>
      <c r="I249" s="158"/>
      <c r="J249" s="104">
        <v>4029.6</v>
      </c>
      <c r="K249" s="89">
        <f t="shared" si="15"/>
        <v>4029.6</v>
      </c>
      <c r="L249" s="103">
        <v>1201.7</v>
      </c>
      <c r="M249" s="103"/>
      <c r="N249" s="104"/>
      <c r="O249" s="119">
        <f t="shared" si="16"/>
        <v>630.6</v>
      </c>
      <c r="P249" s="104">
        <v>593.6</v>
      </c>
      <c r="Q249" s="104">
        <v>37</v>
      </c>
      <c r="R249" s="104"/>
      <c r="S249" s="92">
        <f t="shared" si="14"/>
        <v>5231.3</v>
      </c>
      <c r="T249" s="159" t="s">
        <v>57</v>
      </c>
      <c r="U249" s="160"/>
      <c r="V249" s="161"/>
      <c r="W249" s="161"/>
      <c r="X249" s="160"/>
      <c r="Y249" s="162"/>
      <c r="Z249" s="160"/>
      <c r="AA249" s="160"/>
      <c r="AB249" s="160"/>
      <c r="AC249" s="160"/>
      <c r="AD249" s="163"/>
      <c r="AE249" s="160"/>
      <c r="AF249" s="160"/>
      <c r="AG249" s="160"/>
      <c r="AH249" s="164" t="s">
        <v>58</v>
      </c>
    </row>
    <row r="250" spans="1:34" x14ac:dyDescent="0.3">
      <c r="G250" s="166"/>
      <c r="H250" s="167">
        <f>SUBTOTAL(9,H4:H249)</f>
        <v>1360569.4938428879</v>
      </c>
      <c r="I250" s="167">
        <f t="shared" ref="I250:O250" si="17">SUBTOTAL(9,I4:I249)</f>
        <v>1519.7899999999997</v>
      </c>
      <c r="J250" s="167">
        <f t="shared" si="17"/>
        <v>1071465.8800000001</v>
      </c>
      <c r="K250" s="167">
        <f t="shared" si="17"/>
        <v>1072985.67</v>
      </c>
      <c r="L250" s="167">
        <f t="shared" si="17"/>
        <v>99802.449999999939</v>
      </c>
      <c r="M250" s="167">
        <f t="shared" si="17"/>
        <v>7033.9</v>
      </c>
      <c r="N250" s="167">
        <f t="shared" si="17"/>
        <v>185809.55999999997</v>
      </c>
      <c r="O250" s="167">
        <f t="shared" si="17"/>
        <v>187782.37384288854</v>
      </c>
      <c r="P250" s="168">
        <f t="shared" ref="P250:S250" si="18">SUM(P5:P249)</f>
        <v>150719.20000000007</v>
      </c>
      <c r="Q250" s="168">
        <f t="shared" si="18"/>
        <v>17182.618333519615</v>
      </c>
      <c r="R250" s="168">
        <f t="shared" si="18"/>
        <v>19878.555509368714</v>
      </c>
      <c r="S250" s="169">
        <f t="shared" si="18"/>
        <v>1172788.1199999994</v>
      </c>
      <c r="T250" s="168"/>
      <c r="Y250" s="171" t="e">
        <f>#REF!-H250</f>
        <v>#REF!</v>
      </c>
    </row>
    <row r="251" spans="1:34" x14ac:dyDescent="0.3">
      <c r="I251" s="152"/>
      <c r="N251" s="170"/>
      <c r="P251" s="152"/>
      <c r="S251" s="170"/>
    </row>
    <row r="252" spans="1:34" s="176" customFormat="1" x14ac:dyDescent="0.3">
      <c r="B252" s="177"/>
      <c r="C252" s="177" t="s">
        <v>444</v>
      </c>
      <c r="D252" s="178"/>
      <c r="E252" s="179" t="s">
        <v>445</v>
      </c>
      <c r="F252" s="178"/>
      <c r="G252" s="179"/>
      <c r="H252" s="180"/>
      <c r="I252" s="181"/>
      <c r="J252" s="182">
        <f>I250+J250</f>
        <v>1072985.6700000002</v>
      </c>
      <c r="K252" s="182"/>
      <c r="L252" s="183"/>
      <c r="M252" s="219"/>
      <c r="N252" s="219"/>
      <c r="O252" s="219"/>
      <c r="P252" s="219"/>
      <c r="Q252" s="178"/>
      <c r="R252" s="178"/>
      <c r="S252" s="184"/>
      <c r="T252" s="178"/>
      <c r="V252" s="185"/>
      <c r="W252" s="185"/>
      <c r="AD252" s="186"/>
      <c r="AG252" s="187"/>
      <c r="AH252" s="1"/>
    </row>
    <row r="253" spans="1:34" s="152" customFormat="1" hidden="1" x14ac:dyDescent="0.25">
      <c r="A253" s="7"/>
      <c r="B253" s="69"/>
      <c r="C253" s="69"/>
      <c r="G253" s="174"/>
      <c r="H253" s="175">
        <f>SUBTOTAL(9,H14:H249)</f>
        <v>1306469.6838428879</v>
      </c>
      <c r="I253" s="152">
        <f>SUBTOTAL(9,I14:I249)</f>
        <v>1455.8099999999997</v>
      </c>
      <c r="J253" s="152">
        <f>SUBTOTAL(9,J14:J249)</f>
        <v>1032767.78</v>
      </c>
      <c r="L253" s="152">
        <f t="shared" ref="L253:S253" si="19">SUBTOTAL(9,L14:L249)</f>
        <v>91152.219999999987</v>
      </c>
      <c r="M253" s="152">
        <f t="shared" si="19"/>
        <v>6574.4</v>
      </c>
      <c r="N253" s="170">
        <f t="shared" si="19"/>
        <v>180679.85999999996</v>
      </c>
      <c r="O253" s="152">
        <f t="shared" si="19"/>
        <v>181093.87384288851</v>
      </c>
      <c r="P253" s="152">
        <f t="shared" si="19"/>
        <v>144783.80000000005</v>
      </c>
      <c r="Q253" s="152">
        <f t="shared" si="19"/>
        <v>17013.918333519614</v>
      </c>
      <c r="R253" s="152">
        <f t="shared" si="19"/>
        <v>19296.155509368713</v>
      </c>
      <c r="S253" s="152">
        <f t="shared" si="19"/>
        <v>1125375.8099999996</v>
      </c>
      <c r="U253" s="7"/>
      <c r="V253" s="170"/>
      <c r="W253" s="170"/>
      <c r="X253" s="7"/>
      <c r="Y253" s="7"/>
      <c r="Z253" s="7"/>
      <c r="AA253" s="7"/>
      <c r="AB253" s="7"/>
      <c r="AC253" s="7"/>
      <c r="AD253" s="172"/>
      <c r="AE253" s="7"/>
      <c r="AF253" s="7"/>
      <c r="AG253" s="188"/>
      <c r="AH253" s="189" t="s">
        <v>446</v>
      </c>
    </row>
    <row r="254" spans="1:34" hidden="1" x14ac:dyDescent="0.3">
      <c r="C254" s="69" t="s">
        <v>447</v>
      </c>
      <c r="I254" s="190"/>
      <c r="J254" s="168"/>
      <c r="K254" s="168"/>
      <c r="L254" s="168"/>
      <c r="M254" s="168"/>
    </row>
    <row r="255" spans="1:34" hidden="1" x14ac:dyDescent="0.3">
      <c r="C255" s="34" t="s">
        <v>309</v>
      </c>
      <c r="D255" s="35" t="s">
        <v>83</v>
      </c>
      <c r="E255" s="35" t="s">
        <v>29</v>
      </c>
      <c r="F255" s="36" t="s">
        <v>30</v>
      </c>
      <c r="G255" s="37"/>
      <c r="H255" s="113">
        <f>O255+S255</f>
        <v>6361.28</v>
      </c>
      <c r="I255" s="39"/>
      <c r="J255" s="40">
        <f>4785.48-67.1</f>
        <v>4718.3799999999992</v>
      </c>
      <c r="K255" s="40"/>
      <c r="L255" s="42">
        <f>560.9+170.7</f>
        <v>731.59999999999991</v>
      </c>
      <c r="M255" s="42"/>
      <c r="N255" s="40">
        <v>628</v>
      </c>
      <c r="O255" s="43">
        <f>P255+Q255+R255</f>
        <v>911.3</v>
      </c>
      <c r="P255" s="40">
        <v>628</v>
      </c>
      <c r="Q255" s="40">
        <v>0</v>
      </c>
      <c r="R255" s="40">
        <v>283.3</v>
      </c>
      <c r="S255" s="44">
        <f>J255+L255+I255</f>
        <v>5449.98</v>
      </c>
      <c r="T255" s="35" t="s">
        <v>310</v>
      </c>
    </row>
    <row r="256" spans="1:34" hidden="1" x14ac:dyDescent="0.3">
      <c r="C256" s="34" t="s">
        <v>244</v>
      </c>
      <c r="D256" s="35" t="s">
        <v>94</v>
      </c>
      <c r="E256" s="35" t="s">
        <v>29</v>
      </c>
      <c r="F256" s="36" t="s">
        <v>30</v>
      </c>
      <c r="G256" s="37"/>
      <c r="H256" s="114">
        <f>O256+S256</f>
        <v>3829.5</v>
      </c>
      <c r="I256" s="39"/>
      <c r="J256" s="40">
        <f>3347.4-223.9</f>
        <v>3123.5</v>
      </c>
      <c r="K256" s="40"/>
      <c r="L256" s="106">
        <f>83+84.2</f>
        <v>167.2</v>
      </c>
      <c r="M256" s="106">
        <v>84.2</v>
      </c>
      <c r="N256" s="40">
        <v>704.4</v>
      </c>
      <c r="O256" s="43">
        <f>P256+Q256+R256</f>
        <v>538.79999999999995</v>
      </c>
      <c r="P256" s="40">
        <v>500</v>
      </c>
      <c r="Q256" s="40">
        <v>38.799999999999997</v>
      </c>
      <c r="R256" s="40"/>
      <c r="S256" s="44">
        <f>J256+L256+I256</f>
        <v>3290.7</v>
      </c>
      <c r="T256" s="35" t="s">
        <v>247</v>
      </c>
    </row>
    <row r="257" spans="3:20" hidden="1" x14ac:dyDescent="0.3">
      <c r="C257" s="69" t="s">
        <v>448</v>
      </c>
      <c r="L257" s="152" t="s">
        <v>449</v>
      </c>
    </row>
    <row r="258" spans="3:20" hidden="1" x14ac:dyDescent="0.3">
      <c r="C258" s="34" t="s">
        <v>365</v>
      </c>
      <c r="D258" s="35" t="s">
        <v>241</v>
      </c>
      <c r="E258" s="35" t="s">
        <v>161</v>
      </c>
      <c r="F258" s="35" t="s">
        <v>30</v>
      </c>
      <c r="G258" s="115"/>
      <c r="H258" s="113">
        <f>O258+S258</f>
        <v>10573.300000000001</v>
      </c>
      <c r="I258" s="116"/>
      <c r="J258" s="40">
        <f>8258.7+87.2</f>
        <v>8345.9000000000015</v>
      </c>
      <c r="K258" s="40"/>
      <c r="L258" s="42">
        <v>412.3</v>
      </c>
      <c r="M258" s="42"/>
      <c r="N258" s="40">
        <f>1808.4+1299.6+412.3</f>
        <v>3520.3</v>
      </c>
      <c r="O258" s="43">
        <f>P258+Q258+R258</f>
        <v>1815.1</v>
      </c>
      <c r="P258" s="40">
        <v>1299.5999999999999</v>
      </c>
      <c r="Q258" s="40">
        <v>83.4</v>
      </c>
      <c r="R258" s="40">
        <v>432.1</v>
      </c>
      <c r="S258" s="44">
        <f>J258+L258+I258</f>
        <v>8758.2000000000007</v>
      </c>
      <c r="T258" s="35" t="s">
        <v>370</v>
      </c>
    </row>
    <row r="259" spans="3:20" hidden="1" x14ac:dyDescent="0.3">
      <c r="C259" s="34" t="s">
        <v>229</v>
      </c>
      <c r="D259" s="35" t="s">
        <v>105</v>
      </c>
      <c r="E259" s="35" t="s">
        <v>29</v>
      </c>
      <c r="F259" s="36" t="s">
        <v>30</v>
      </c>
      <c r="G259" s="37"/>
      <c r="H259" s="193">
        <f>O259+S259</f>
        <v>50317.46</v>
      </c>
      <c r="I259" s="39"/>
      <c r="J259" s="40">
        <f>35897.5+0.6</f>
        <v>35898.1</v>
      </c>
      <c r="K259" s="40"/>
      <c r="L259" s="42">
        <f>1111.56-9.36-34.4-30.8+3403.4</f>
        <v>4440.3999999999996</v>
      </c>
      <c r="M259" s="42">
        <v>141</v>
      </c>
      <c r="N259" s="42">
        <v>10434.9</v>
      </c>
      <c r="O259" s="43">
        <f>P259+Q259+R259</f>
        <v>9978.9599999999991</v>
      </c>
      <c r="P259" s="42">
        <v>3336</v>
      </c>
      <c r="Q259" s="42"/>
      <c r="R259" s="106">
        <f>7055.14-412.18</f>
        <v>6642.96</v>
      </c>
      <c r="S259" s="44">
        <f>J259+L259+I259</f>
        <v>40338.5</v>
      </c>
      <c r="T259" s="35" t="s">
        <v>232</v>
      </c>
    </row>
    <row r="260" spans="3:20" hidden="1" x14ac:dyDescent="0.3">
      <c r="C260" s="69" t="s">
        <v>450</v>
      </c>
      <c r="L260" s="152" t="s">
        <v>451</v>
      </c>
    </row>
    <row r="261" spans="3:20" hidden="1" x14ac:dyDescent="0.3">
      <c r="C261" s="110" t="s">
        <v>440</v>
      </c>
      <c r="D261" s="111" t="s">
        <v>124</v>
      </c>
      <c r="E261" s="111"/>
      <c r="F261" s="111" t="s">
        <v>30</v>
      </c>
      <c r="G261" s="194"/>
      <c r="H261" s="195"/>
      <c r="I261" s="151"/>
      <c r="J261" s="107"/>
      <c r="K261" s="107"/>
      <c r="L261" s="106"/>
      <c r="M261" s="106"/>
      <c r="N261" s="107"/>
      <c r="O261" s="116"/>
      <c r="P261" s="107"/>
      <c r="Q261" s="107"/>
      <c r="R261" s="107"/>
      <c r="S261" s="44"/>
      <c r="T261" s="111"/>
    </row>
    <row r="262" spans="3:20" hidden="1" x14ac:dyDescent="0.3"/>
  </sheetData>
  <autoFilter ref="A3:AH249" xr:uid="{A9B3A556-3E11-4001-84E4-038D4932925F}"/>
  <mergeCells count="24">
    <mergeCell ref="AC2:AC3"/>
    <mergeCell ref="AD2:AD3"/>
    <mergeCell ref="X2:X3"/>
    <mergeCell ref="M252:P252"/>
    <mergeCell ref="Y2:Y3"/>
    <mergeCell ref="Z2:Z3"/>
    <mergeCell ref="AA2:AA3"/>
    <mergeCell ref="AB2:AB3"/>
    <mergeCell ref="A1:AH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L2:L3"/>
    <mergeCell ref="M2:M3"/>
    <mergeCell ref="N2:N3"/>
    <mergeCell ref="O2:R2"/>
    <mergeCell ref="T2:W2"/>
    <mergeCell ref="AH2:AH3"/>
  </mergeCells>
  <pageMargins left="0.19685039370078741" right="0" top="0.15748031496062992" bottom="0.19685039370078741" header="0.31496062992125984" footer="0.31496062992125984"/>
  <pageSetup paperSize="9" scale="8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остались в ЖКС</vt:lpstr>
      <vt:lpstr>ЖКС №1 ВО района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2022-02-18T11:01:18Z</dcterms:modified>
</cp:coreProperties>
</file>